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8928" tabRatio="297" activeTab="0"/>
  </bookViews>
  <sheets>
    <sheet name="HESAP" sheetId="1" r:id="rId1"/>
    <sheet name="KOD" sheetId="2" state="hidden" r:id="rId2"/>
  </sheets>
  <definedNames>
    <definedName name="_xlnm.Print_Area" localSheetId="1">'KOD'!$B$92:$M$140,'KOD'!$B$142:$M$263</definedName>
    <definedName name="Z_F5A5FD69_2D02_427D_9516_855CF3B64BF7_.wvu.Cols" localSheetId="1" hidden="1">'KOD'!#REF!</definedName>
    <definedName name="Z_F5A5FD69_2D02_427D_9516_855CF3B64BF7_.wvu.PrintArea" localSheetId="0" hidden="1">'HESAP'!$B$5:$X$37,'HESAP'!$B$41:$X$104</definedName>
    <definedName name="Z_F5A5FD69_2D02_427D_9516_855CF3B64BF7_.wvu.Rows" localSheetId="0" hidden="1">'HESAP'!$106:$125</definedName>
  </definedNames>
  <calcPr fullCalcOnLoad="1"/>
</workbook>
</file>

<file path=xl/comments1.xml><?xml version="1.0" encoding="utf-8"?>
<comments xmlns="http://schemas.openxmlformats.org/spreadsheetml/2006/main">
  <authors>
    <author>HB</author>
    <author>TMMOB</author>
    <author>HALIL</author>
    <author>Administrator</author>
    <author>Virtual PC</author>
  </authors>
  <commentList>
    <comment ref="B8" authorId="0">
      <text>
        <r>
          <rPr>
            <sz val="9"/>
            <rFont val="Tahoma"/>
            <family val="2"/>
          </rPr>
          <t>Yapı ruhsatı üzerinde bulunan YAPI İNŞAAT ALANINDAN, “ışıklıklar, giriş holleri, açık çıkmalar, hava bacaları, saçaklar, tesisat galerileri ve katları, ticari amaçlı olmayan ve binanın kendi ihtiyacı için otopark olarak kullanılan bölüm ve katlar, yangın merdivenleri, asansörler, tabii zemin terasları, kalorifer dairesi, kömürlük, sığınak, su deposu ve hidrofor dairesi” çıkarıldıktan sonra kalan YAPI RUHSATINA ESAS KULLANIM ALANI girilecektir.</t>
        </r>
      </text>
    </comment>
    <comment ref="B22" authorId="1">
      <text>
        <r>
          <rPr>
            <b/>
            <sz val="8"/>
            <rFont val="Tahoma"/>
            <family val="2"/>
          </rPr>
          <t>Yapı ve tesislerde uygulanacak tesisat türlerini belirten, tesisat sistem seçimlerini açıklayan, bu seçimlerin teknik, ekonomik ve mali gerekçelerini irdeleyen, bu etütleri gerekirse kroki, şema ve hesaplarla açıklayan, genellikle 1/200 ölçekli mimari ön proje evresi için hazırlanan, rapordur.</t>
        </r>
      </text>
    </comment>
    <comment ref="B23" authorId="1">
      <text>
        <r>
          <rPr>
            <b/>
            <sz val="8"/>
            <rFont val="Tahoma"/>
            <family val="2"/>
          </rPr>
          <t>Öneri raporundaki esaslara göre kabul edilen tesisatın, boru ve kanalların geçiş yerlerine, yaklaşık boru ve kanal ölçülerini gösteren, makina ve aygıtların yerleşme şekillerini belirten, ayrıca proje ve hesaplara esas olacak verilerin tespit edildiği, hesap tarzlarının da teklif edildiği 1/100 ölçekli projedir.</t>
        </r>
      </text>
    </comment>
    <comment ref="B24" authorId="1">
      <text>
        <r>
          <rPr>
            <b/>
            <sz val="8"/>
            <rFont val="Tahoma"/>
            <family val="2"/>
          </rPr>
          <t>Ön projeye göre tesisatın uygulama evresi için gerekli bütün hesaplarla birlikte, dönen ve çalışan parça ve birimlerin titreşim, ses, emme ve genleşme hesaplarını ve giderilme önlemlerini kapasite ve güç ölçümlerini de içine alan, tesislerin bütünü ile yerleşme ve kolon şemalarını kapsayan projedir. İdarece kabul edilen, yapı ve tesisin büyüklüğü nedeniyle mimari projenin de 1/100 ölçekte hazırlanması vb., özel hallerde 1/100 ölçekte de çizilebilen uygulama projesi genellikle 1/50 ölçekte düzenlenir.</t>
        </r>
      </text>
    </comment>
    <comment ref="B25" authorId="1">
      <text>
        <r>
          <rPr>
            <b/>
            <sz val="8"/>
            <rFont val="Tahoma"/>
            <family val="2"/>
          </rPr>
          <t>Tesisatın yoğun olduğu, hacimlerde 1/20 ve 1/10 ölçekli plan, kesit ve görünümleri ile tecrit detayları, yalıtım ve kanal kesitleri, boru askı ve genleşme detayları, kullanılan makina ve cihazların resimleri, bağlantı şemaları için gerekli 1/10, 1/5, 1/1 gibi uygun ölçekli detay projeleridir.</t>
        </r>
      </text>
    </comment>
    <comment ref="B26" authorId="1">
      <text>
        <r>
          <rPr>
            <b/>
            <sz val="8"/>
            <rFont val="Tahoma"/>
            <family val="2"/>
          </rPr>
          <t>Projelerin işveren ve/veya idarece onanması sırasında yapılan değişikliklerin işlenerek proje orijinallerinin işverene teslim işlemidir.</t>
        </r>
      </text>
    </comment>
    <comment ref="B27" authorId="1">
      <text>
        <r>
          <rPr>
            <b/>
            <sz val="8"/>
            <rFont val="Tahoma"/>
            <family val="2"/>
          </rPr>
          <t xml:space="preserve">İvedi durumlarda uygulama ön projeleri yardımı ile olağan durumlarda uygulama projesi ve/veya yapım ve detay resimlerinin hazırlanmasından sonra:
Birinci keşfe esas olarak metrajın yapılması.
Birim fiyat bulunmayan işlerin fiyat analizleri düzenlenmesi,
Birim fiyat listesinin hazırlanması.
Keşif özetinin yapılması.
Özel teknik şartnamenin öngörülen sayıda hazırlanmasıdır.
</t>
        </r>
      </text>
    </comment>
    <comment ref="B16" authorId="2">
      <text>
        <r>
          <rPr>
            <sz val="9"/>
            <rFont val="Tahoma"/>
            <family val="2"/>
          </rPr>
          <t>SMM Asgari Ücret Yönetmeliği’nin 6-a-6 Maddesine göre: İmar Müdürlüklerine onaylattırılan tek etapta hazırlanan uygulama projelerinin hizmet bedeli oranı 
olarak %50 alınmıştır.</t>
        </r>
      </text>
    </comment>
    <comment ref="B37" authorId="2">
      <text>
        <r>
          <rPr>
            <sz val="9"/>
            <rFont val="Tahoma"/>
            <family val="2"/>
          </rPr>
          <t>SMM Asgari Ücret Yönetmeliği’nin 6-a-6 Maddesine göre: İmar Müdürlüklerine onaylattırılan tek etapta hazırlanan uygulama projelerinin hizmet bedeli oranı 
olarak %50 alınmıştır.</t>
        </r>
      </text>
    </comment>
    <comment ref="B9" authorId="3">
      <text>
        <r>
          <rPr>
            <b/>
            <sz val="9"/>
            <rFont val="Tahoma"/>
            <family val="2"/>
          </rPr>
          <t xml:space="preserve">1, 2, 3A, 3B, 4A, 4B, 4C, 5A, 5B, 5C, 5D şeklinde giriş yapınız.   </t>
        </r>
      </text>
    </comment>
    <comment ref="B11" authorId="3">
      <text>
        <r>
          <rPr>
            <b/>
            <sz val="9"/>
            <rFont val="Tahoma"/>
            <family val="2"/>
          </rPr>
          <t>Parseldeki Toplam Tip Bina Adedini Giriniz.</t>
        </r>
      </text>
    </comment>
    <comment ref="B12" authorId="3">
      <text>
        <r>
          <rPr>
            <b/>
            <sz val="9"/>
            <rFont val="Tahoma"/>
            <family val="2"/>
          </rPr>
          <t xml:space="preserve">Kısmi Tadilat Projesiyse "+" işaretini kullanınız.
</t>
        </r>
      </text>
    </comment>
    <comment ref="B10" authorId="3">
      <text>
        <r>
          <rPr>
            <b/>
            <sz val="9"/>
            <rFont val="Tahoma"/>
            <family val="2"/>
          </rPr>
          <t>Bir binada kaç adet asansör varsa veya  sunulan projede kaç adet binada kaç adet asansör varsa hepsinin toplamını giriniz</t>
        </r>
      </text>
    </comment>
    <comment ref="J12" authorId="4">
      <text>
        <r>
          <rPr>
            <b/>
            <sz val="8"/>
            <rFont val="Tahoma"/>
            <family val="2"/>
          </rPr>
          <t xml:space="preserve">-Sauna, yüzme havuzu, hijyenik klima, medikal gaz tesisatı ve benzeri nitelikte konfor sağlayıcı diğer tesisatlardan birkaçı veya hepsi- 
5D grubu: Çok çeşitli tesisatı olan anıt ve eski eser restorasyonları, ilaç fabrikaları ve hijyenik üretim tesisleri, hastahaneler, hava limanları ve benzeri nitelikte yer alan diğer yapılar.
</t>
        </r>
      </text>
    </comment>
    <comment ref="J11" authorId="4">
      <text>
        <r>
          <rPr>
            <b/>
            <sz val="8"/>
            <rFont val="Tahoma"/>
            <family val="2"/>
          </rPr>
          <t xml:space="preserve">-Sauna, yüzme havuzu, hijyenik klima, medikal gaz tesisatı ve benzeri nitelikte konfor sağlayıcı diğer tesisatlardan birkaçı veya hepsi- 
5C grubu: 5 yıldızlı lüks oteller, tatil köyleri, orduevleri, radyo ve televizyon binaları, lüks lokantalar, et entegre tesisleri, buz üretme tesisi ve şok tesisi ilaveli soğuk hava depoları, olimpik ve yüksek nitelikte kapalı yüzme havuzları ve benzeri nitelikte yer alan diğer yapılar.
</t>
        </r>
      </text>
    </comment>
    <comment ref="I11" authorId="4">
      <text>
        <r>
          <rPr>
            <b/>
            <sz val="8"/>
            <rFont val="Tahoma"/>
            <family val="2"/>
          </rPr>
          <t xml:space="preserve">-Havalandırma, kat kaloriferli veya merkezi sistemli yapılarda döşemeden ısıtma, kızgın su, buhar tesisatı, hijyenik klima ve hacminin %50’sine kadar klima gibi tesisat çeşitlerinin birkaçı veya hepsi-
4C grubu: 3 yıldızlı otel ve moteller, büyük kütüphane ve kültür yapıları, radyo ve televizyon binaları, orduevleri, eski eser restorasyonları, büyük adliye binaları, laboratuvarlar, mezbahalar ve soğuk depolar, yeraltı geçitleri, raylı sistemlerin yeraltı istasyonları, tıp merkezleri, ayakta tedavi merkezleri, küçük sağlık tesisleri, bir veya birden fazla tesisat katı olan ve son kat tavan kotu 30.80 m’yi geçen yüksek yapılarve benzeri nitelikte yer alan diğer yapılar.
</t>
        </r>
      </text>
    </comment>
    <comment ref="J10" authorId="4">
      <text>
        <r>
          <rPr>
            <b/>
            <sz val="8"/>
            <rFont val="Tahoma"/>
            <family val="2"/>
          </rPr>
          <t xml:space="preserve">-Sauna, yüzme havuzu, hijyenik klima, medikal gaz tesisatı ve benzeri nitelikte konfor sağlayıcı diğer tesisatlardan birkaçı veya hepsi-
5B grubu: Kongre merkezleri, komple sahne tesisi olan tiyatro ve opera binaları ile konser salonları, yüksek basınçlı özel ısıtma şebekesi ve bir veya birkaç ısı santralı bulunan büyük kampüsler veya siteler gibi komplekslerin bölgesel ısıtma tesisleri, bilgi işlem merkezleri, soğuk hava depoları ve benzeri nitelikte yer alan diğer yapılar.
</t>
        </r>
      </text>
    </comment>
    <comment ref="I10" authorId="4">
      <text>
        <r>
          <rPr>
            <b/>
            <sz val="8"/>
            <rFont val="Tahoma"/>
            <family val="2"/>
          </rPr>
          <t xml:space="preserve">-Havalandırma, kat kaloriferli veya merkezi sistemli yapılarda döşemeden ısıtma, kızgın su, buhar tesisatı, hijyenik klima ve hacminin %50’sine kadar klima gibi tesisat çeşitlerinin birkaçı veya hepsi-
4B grubu: Yüksek nitelikli ısı merkezleri, kapalı spor tesisleri, kapalı yüzme havuzları, yüksek öğrenim yurtları, üniversiteler ve yüksek okullar, büyük mağazalar ve süpermarketler, banka, borsa ve sigorta binaları, büyük postaneler, kütüphaneler ve kültür yapıları, tiyatro ve sinema binaları, kaplıca ve şifa evleri, fabrika ve sanayi tesisleri, restoranlar, terminaller ve benzeri nitelikte yer alan diğer yapılar.
</t>
        </r>
      </text>
    </comment>
    <comment ref="H10" authorId="4">
      <text>
        <r>
          <rPr>
            <b/>
            <sz val="8"/>
            <rFont val="Tahoma"/>
            <family val="2"/>
          </rPr>
          <t xml:space="preserve">-Radyatörlü kalorifer, kat kaloriferi, basit havalandırma (egzoz), kısmi buhar tesisatı, sanayi tipi mutfak ve çamaşırhane tesisatı gibi çeşitlerinden bir kaçı veya hepsi-
3B grubu: Merkezi kaloriferli normal konut binaları; 500 m2’den büyük büro, işhanı ve idare binaları; 1000 m2’den büyük ve yüksek tehlikeli yangın sınıfına giren fabrika, atölye ve imalat binaları; 500 m2’den büyük spor tesisleri; 1000 m2’den büyük ilköğretim ve ortaöğretim binaları; 3 yıldıza kadar oteller ve moteller; yurtlar ve misafirhaneler, yatılı okullar, küçük kitaplık ve benzeri kültür tesisleri, askerlik ve emniyet binaları, dükkanlar, mağazalar, lokantalar, akaryakıt ve otogaz istasyonları, yıkama ve yağlama binaları, fuar yerleri, sanayi siteleri, özel amaçlı depolar, yeraltı ve yerüstü kapalı otoparklar, tüneller ve benzeri nitelikte yer alan diğer yapılar.
</t>
        </r>
      </text>
    </comment>
    <comment ref="J9" authorId="4">
      <text>
        <r>
          <rPr>
            <b/>
            <sz val="8"/>
            <rFont val="Tahoma"/>
            <family val="2"/>
          </rPr>
          <t xml:space="preserve">-Sauna, yüzme havuzu, hijyenik klima, medikal gaz tesisatı ve benzeri nitelikte konfor sağlayıcı diğer tesisatlardan birkaçı veya hepsi-
5A grubu: 4 yıldızlı otel, motel ve tatil köyleri, özellikli sanayi tesisleri, büyükelçilik yapıları, vali evleri, üst düzey yönetici evleri, eski eser restorasyonları ve benzeri nitelikte yer alan diğer yapılar.
</t>
        </r>
      </text>
    </comment>
    <comment ref="I9" authorId="4">
      <text>
        <r>
          <rPr>
            <b/>
            <sz val="8"/>
            <rFont val="Tahoma"/>
            <family val="2"/>
          </rPr>
          <t xml:space="preserve">-Havalandırma, kat kaloriferli veya merkezi sistemli yapılarda döşemeden ısıtma, kızgın su, buhar tesisatı, hijyenik klima ve hacminin %50’sine kadar klima gibi tesisat çeşitlerinin birkaçı veya hepsi-
4A grubu: Huzurevleri, kreş ve gündüz bakımevleri, hayvan üretme ve besleme evleri, il ve ilçe hükümet konakları, kaymakam evleri, hamam ve banyolar, açık yüzme havuzları, özelliği olan büyük okul yapıları, stadyumlar, özel amaçlı yapılar, otobüs terminalleri, demiryolu istasyonları, akaryakıt ve lpg dolum tesisleri vebenzeri nitelikte yer alan diğer yapılar.
</t>
        </r>
        <r>
          <rPr>
            <sz val="8"/>
            <rFont val="Tahoma"/>
            <family val="2"/>
          </rPr>
          <t xml:space="preserve">
</t>
        </r>
      </text>
    </comment>
    <comment ref="H9" authorId="4">
      <text>
        <r>
          <rPr>
            <b/>
            <sz val="8"/>
            <rFont val="Tahoma"/>
            <family val="2"/>
          </rPr>
          <t xml:space="preserve">-Radyatörlü kalorifer, kat kaloriferi, basit havalandırma (egzoz), kısmi buhar tesisatı, sanayi tipi mutfak ve çamaşırhane tesisatı gibi çeşitlerinden bir kaçı veya hepsi-
3A grubu: Kat kaloriferli normal konut binaları; 500 m2’ye kadar olan büro, işhanı ve idare binaları; 1000 m2’ye kadar olan ve orta tehlikeli yangın sınıfına giren atölye ve imalat binaları; 500 m2’ye kadar olan basit spor tesisleri; küçük sanayi siteleri; 1000 m2’ye kadar olan ilköğretim ve ortaöğretim binaları; sağlık ocakları; brüt alanı 500 m2’yi geçmeyen karakol, meteoroloji istasyonu gibi küçük idare binaları; dispanserler ve benzeri nitelikte yer alan diğer yapılar.
</t>
        </r>
      </text>
    </comment>
    <comment ref="G9" authorId="4">
      <text>
        <r>
          <rPr>
            <b/>
            <sz val="8"/>
            <rFont val="Tahoma"/>
            <family val="2"/>
          </rPr>
          <t>Konut binaları, büro işhanı ve idare binaları, düşük tehlikeli yangın sınıfına giren fabrika ve imalat binaları, akaryakıt istasyonu ve yıkama yağlama binaları, lokantalar, pazar ve fuar yerleri, küçük sanayi siteleri, köy okulları ve benzeri nitelikte olan diğer yapılar ikinci sınıf yapı olarak kabul edilir. Bu sınıfa giren yapılarda tespit edilen asgari ücretin birinci sınıfta belirtilenlerin yanında güneş enerjisiyle sıcak su elde edilmesi, hidrofor tesisatı, basınçlı hava tesisatı, yangın tesisatı, arıtma tesisatı gibi tesisatlardan birkaçını veya hepsini kapsadığı varsayılır.</t>
        </r>
      </text>
    </comment>
    <comment ref="F9" authorId="4">
      <text>
        <r>
          <rPr>
            <b/>
            <sz val="8"/>
            <rFont val="Tahoma"/>
            <family val="2"/>
          </rPr>
          <t xml:space="preserve">Ahır, kümes, samanlık gibi basit tarım yapıları; transformatör binaları; açık spor salonları; 1000 m2’ye kadar depolar ve silolar; brüt kapalı alanı 500 m2’yi geçmeyen veya idari binası ayrıca değerlendirilmek kaydıyla 500 m2’den büyük olmakla beraber sadece temiz su ve yağmur tesisatı olan basit fabrika ve imalat binaları; 2 katlı ve 200 m2’yi geçmeyen basit konut yapıları; brüt alanı 500 m2’yi geçmeyen basit büro, işhanı ve idare binaları ve benzeri nitelikte olan diğer yapılar birinci sınıf yapı olarak kabul edilir. Bu sınıfa giren yapılarda tespit edilen asgari ücretin sıhhi tesisat, foseptik ve ısı yalıtım projesi gibi tesisat çeşitlerinden bir kaçını veya hepsini kapsadığı varsayılır.
</t>
        </r>
      </text>
    </comment>
  </commentList>
</comments>
</file>

<file path=xl/sharedStrings.xml><?xml version="1.0" encoding="utf-8"?>
<sst xmlns="http://schemas.openxmlformats.org/spreadsheetml/2006/main" count="439" uniqueCount="261">
  <si>
    <t>5A SINIF</t>
  </si>
  <si>
    <t>4C SINIF</t>
  </si>
  <si>
    <t>5D SINIF</t>
  </si>
  <si>
    <t>5C SINIF</t>
  </si>
  <si>
    <t>5B SINIF</t>
  </si>
  <si>
    <t>4B SINIF</t>
  </si>
  <si>
    <t>4A SINIF</t>
  </si>
  <si>
    <t>3B SINIF</t>
  </si>
  <si>
    <t>3A SINIF</t>
  </si>
  <si>
    <t>1.SINIF</t>
  </si>
  <si>
    <t>TESİSAT MÜHENDİSLİĞİ PROJE HİZMETLERİ YAPI SINIF ORANLARI</t>
  </si>
  <si>
    <t>+</t>
  </si>
  <si>
    <t>FATURA</t>
  </si>
  <si>
    <t>Sınıfı</t>
  </si>
  <si>
    <t>Fatura</t>
  </si>
  <si>
    <t xml:space="preserve">   YAPI</t>
  </si>
  <si>
    <t>2.SINIF</t>
  </si>
  <si>
    <t xml:space="preserve">  ALANI</t>
  </si>
  <si>
    <t>3a</t>
  </si>
  <si>
    <t>3b</t>
  </si>
  <si>
    <t>4a</t>
  </si>
  <si>
    <t>4b</t>
  </si>
  <si>
    <t>4c</t>
  </si>
  <si>
    <t>5a</t>
  </si>
  <si>
    <t>5b</t>
  </si>
  <si>
    <t>5c</t>
  </si>
  <si>
    <t>5d</t>
  </si>
  <si>
    <t>1SINIF</t>
  </si>
  <si>
    <t>2SINIF</t>
  </si>
  <si>
    <t>3A</t>
  </si>
  <si>
    <t>3B</t>
  </si>
  <si>
    <t>4A</t>
  </si>
  <si>
    <t>4B</t>
  </si>
  <si>
    <t>4C</t>
  </si>
  <si>
    <t>5A</t>
  </si>
  <si>
    <t>5B</t>
  </si>
  <si>
    <t>5C</t>
  </si>
  <si>
    <t>5D</t>
  </si>
  <si>
    <t>MDÜ</t>
  </si>
  <si>
    <t>3 Tip</t>
  </si>
  <si>
    <t>2 Tip</t>
  </si>
  <si>
    <t>4 Tip</t>
  </si>
  <si>
    <t>ALAN</t>
  </si>
  <si>
    <t>TL</t>
  </si>
  <si>
    <t>Fark</t>
  </si>
  <si>
    <t>Alt Alan</t>
  </si>
  <si>
    <t>Üst Alan</t>
  </si>
  <si>
    <t>250-10.000</t>
  </si>
  <si>
    <t>Tip Adedi</t>
  </si>
  <si>
    <t>m²</t>
  </si>
  <si>
    <t>Fark m²</t>
  </si>
  <si>
    <t>Fark TL</t>
  </si>
  <si>
    <t>Yapı Sınıfları</t>
  </si>
  <si>
    <t>Alt</t>
  </si>
  <si>
    <t>Üst</t>
  </si>
  <si>
    <t>Girilen Değer</t>
  </si>
  <si>
    <t>Cari Yıl</t>
  </si>
  <si>
    <t>250 ≤ m² ≤ 80.000 Arası</t>
  </si>
  <si>
    <t>(m² ≤ 250) veya (m² ≥ 80.000)</t>
  </si>
  <si>
    <t>IV. Uygulamadan Sonraki Uygulama Adedi</t>
  </si>
  <si>
    <t>TOPLAM</t>
  </si>
  <si>
    <t>Mek. Tes. Tip</t>
  </si>
  <si>
    <t>Asan. Avan Tip</t>
  </si>
  <si>
    <t xml:space="preserve">Tek </t>
  </si>
  <si>
    <t>I. Uygulama (% 100) ►</t>
  </si>
  <si>
    <t>II. Uygulama   (% 50) ►</t>
  </si>
  <si>
    <t>III. Uygulama   (% 25) ►</t>
  </si>
  <si>
    <t>IV. Uygulama ve Sonrası   (% 15) ►</t>
  </si>
  <si>
    <t>Mek.Tes.Liste Çarpanı</t>
  </si>
  <si>
    <t>Asan.Avan Hes.Çarpanı</t>
  </si>
  <si>
    <t>3. SINIF</t>
  </si>
  <si>
    <t>4. SINIF</t>
  </si>
  <si>
    <t>5. SINIF</t>
  </si>
  <si>
    <t>(m² ≤ 250)
(m² ≥ 80.000)</t>
  </si>
  <si>
    <t>TEK FİYAT UYGULAMASI MDU HESABI</t>
  </si>
  <si>
    <t>LİSTE UYGULAMASI MDU HESABI</t>
  </si>
  <si>
    <t>SINIF ►</t>
  </si>
  <si>
    <t>MDÜ ►</t>
  </si>
  <si>
    <t>1. SINIF</t>
  </si>
  <si>
    <t>2. SINIF</t>
  </si>
  <si>
    <t>MESLEKİ DENETİM ÜCRETİ</t>
  </si>
  <si>
    <r>
      <t>TİP UYGULAMALARI</t>
    </r>
    <r>
      <rPr>
        <sz val="10"/>
        <color indexed="10"/>
        <rFont val="Arial Narrow"/>
        <family val="2"/>
      </rPr>
      <t>(Asansör Avan Projesi)</t>
    </r>
    <r>
      <rPr>
        <sz val="10"/>
        <rFont val="Arial Narrow"/>
        <family val="2"/>
      </rPr>
      <t xml:space="preserve"> </t>
    </r>
  </si>
  <si>
    <r>
      <t>TİP UYGULAMALARI</t>
    </r>
    <r>
      <rPr>
        <sz val="10"/>
        <color indexed="10"/>
        <rFont val="Arial Narrow"/>
        <family val="2"/>
      </rPr>
      <t xml:space="preserve">(Asansör Hariç Mek.Tes.) </t>
    </r>
  </si>
  <si>
    <r>
      <t>TİP UYGULAMALARI</t>
    </r>
    <r>
      <rPr>
        <sz val="10"/>
        <color indexed="10"/>
        <rFont val="Arial Narrow"/>
        <family val="2"/>
      </rPr>
      <t xml:space="preserve">(Asansör Avan Projesi) </t>
    </r>
  </si>
  <si>
    <r>
      <t>TİP UYGULAMALARI</t>
    </r>
    <r>
      <rPr>
        <sz val="10"/>
        <color indexed="10"/>
        <rFont val="Arial Narrow"/>
        <family val="2"/>
      </rPr>
      <t xml:space="preserve">(Asansör Hariç Mek.Tes.) </t>
    </r>
  </si>
  <si>
    <t>12.000 TL ye kadar ►</t>
  </si>
  <si>
    <t xml:space="preserve">İncelenen Meta Tutarı (TL) ► </t>
  </si>
  <si>
    <t xml:space="preserve">Çalışılan Gün Sayısı ► </t>
  </si>
  <si>
    <t xml:space="preserve">Çalışan Eksper Sayısı ► </t>
  </si>
  <si>
    <t>60.000 TL ye kadar ►</t>
  </si>
  <si>
    <t>300.000 TL ye kadar ►</t>
  </si>
  <si>
    <t>İncelenen Meta Tutarları</t>
  </si>
  <si>
    <t>Ücret (TL)</t>
  </si>
  <si>
    <t xml:space="preserve">Alan </t>
  </si>
  <si>
    <t>Fiyat</t>
  </si>
  <si>
    <t>&gt; 100.000 m2</t>
  </si>
  <si>
    <t>Park,Bahçe,Açık Alan Sulama Hesabı</t>
  </si>
  <si>
    <t>m2</t>
  </si>
  <si>
    <t>m2 Fiyatı</t>
  </si>
  <si>
    <t>Fark  m2</t>
  </si>
  <si>
    <t>&lt; 500 m2</t>
  </si>
  <si>
    <t>Liste TL</t>
  </si>
  <si>
    <t>PARK-BAHÇE-AÇIK ALAN SULAMA PROJE HİZMETLERİ ÜCRETLERİ</t>
  </si>
  <si>
    <t>İmar Müdürlüklerine Onaylattırılan tek etapta hazırlanan projeler kapsamında mı değerlendiriliyor ? (+ veya - olarak giriniz) ►</t>
  </si>
  <si>
    <t>50.000-100.000 m2 Arası</t>
  </si>
  <si>
    <t>20.000-50.000 m2 Arası</t>
  </si>
  <si>
    <t>5.000-20.000 m2 Arası</t>
  </si>
  <si>
    <t>2.000-5.000 m2 Arası</t>
  </si>
  <si>
    <t>0-2.000 m2 Arası</t>
  </si>
  <si>
    <t>&gt;100.000 m2 üzeri</t>
  </si>
  <si>
    <t>TESİSAT MÜHENDİSLİĞİ PROJE HİZMETLERİ MAKTU ÜCRETLER</t>
  </si>
  <si>
    <t>TESİSAT MÜHENDİSLİĞİ PROJE HİZMETLERİ ASGARİ ÜCRETLERİ</t>
  </si>
  <si>
    <t>FATURA HESABI</t>
  </si>
  <si>
    <t>MAKTU ÜCRETLER</t>
  </si>
  <si>
    <t>FATURA BEDELLERİ</t>
  </si>
  <si>
    <t>PARK-BAHÇE-AÇIK ALAN SULAMA HESABI</t>
  </si>
  <si>
    <t>600.000 TL ye kadar ►</t>
  </si>
  <si>
    <t>600.000 TL den büyük ►</t>
  </si>
  <si>
    <t xml:space="preserve">Hesaplanan Ekspertizlik Ücreti (TL) ► </t>
  </si>
  <si>
    <r>
      <t xml:space="preserve">Öneri Raporu  </t>
    </r>
    <r>
      <rPr>
        <sz val="8"/>
        <color indexed="17"/>
        <rFont val="Century Gothic"/>
        <family val="2"/>
      </rPr>
      <t xml:space="preserve"> (% 7) </t>
    </r>
  </si>
  <si>
    <r>
      <t xml:space="preserve">Ön Proje </t>
    </r>
    <r>
      <rPr>
        <sz val="8"/>
        <color indexed="17"/>
        <rFont val="Century Gothic"/>
        <family val="2"/>
      </rPr>
      <t xml:space="preserve">(% 18) </t>
    </r>
  </si>
  <si>
    <r>
      <rPr>
        <sz val="9.5"/>
        <color indexed="17"/>
        <rFont val="Century Gothic"/>
        <family val="2"/>
      </rPr>
      <t>Uygulama Projesi</t>
    </r>
    <r>
      <rPr>
        <sz val="10"/>
        <color indexed="17"/>
        <rFont val="Century Gothic"/>
        <family val="2"/>
      </rPr>
      <t xml:space="preserve"> </t>
    </r>
    <r>
      <rPr>
        <sz val="8"/>
        <color indexed="17"/>
        <rFont val="Century Gothic"/>
        <family val="2"/>
      </rPr>
      <t xml:space="preserve">(% 50)  </t>
    </r>
  </si>
  <si>
    <r>
      <t xml:space="preserve">Detaylar </t>
    </r>
    <r>
      <rPr>
        <sz val="8"/>
        <color indexed="17"/>
        <rFont val="Century Gothic"/>
        <family val="2"/>
      </rPr>
      <t xml:space="preserve">(% 10) </t>
    </r>
  </si>
  <si>
    <r>
      <t xml:space="preserve">Orijinallerin Teslimi   </t>
    </r>
    <r>
      <rPr>
        <sz val="8"/>
        <color indexed="17"/>
        <rFont val="Century Gothic"/>
        <family val="2"/>
      </rPr>
      <t xml:space="preserve">(% 5) </t>
    </r>
  </si>
  <si>
    <r>
      <t xml:space="preserve">İhale Dosyası  </t>
    </r>
    <r>
      <rPr>
        <sz val="8"/>
        <color indexed="17"/>
        <rFont val="Century Gothic"/>
        <family val="2"/>
      </rPr>
      <t xml:space="preserve">(% 10)  </t>
    </r>
  </si>
  <si>
    <t xml:space="preserve">Uyg. Projesi Asg. Fatura Bedeli </t>
  </si>
  <si>
    <t xml:space="preserve">Maktu Ücret  </t>
  </si>
  <si>
    <t>(DİKKAT! Sadece SARI kutucuklara değer giriniz)</t>
  </si>
  <si>
    <t>Proje Hizmetleri Toplam Ücretleri</t>
  </si>
  <si>
    <t xml:space="preserve">Çalışan Eksper Sayısı► </t>
  </si>
  <si>
    <t xml:space="preserve">İncelenen Meta Tutarı ► </t>
  </si>
  <si>
    <t>kişi</t>
  </si>
  <si>
    <t xml:space="preserve">Ekspertizlik Ücreti  </t>
  </si>
  <si>
    <t>▼</t>
  </si>
  <si>
    <t xml:space="preserve">Toplam Sulama Alanı [m²] ► </t>
  </si>
  <si>
    <t>Arazide ya da büroda bir defasında birden çok dosyanın incelenmesi durumlarında </t>
  </si>
  <si>
    <t>Aynı  dosya  içinde  birden  fazla  rapor düzenlendiğinde her rapor  için normal ücretin %50‘si oranında ek ücret alınır.  </t>
  </si>
  <si>
    <t>Arazide düzenlenen raporlarda her rapor için rapor başına ►</t>
  </si>
  <si>
    <t>TMMOB EKSPERLİK ÜCRETLERİ</t>
  </si>
  <si>
    <t>A: Ekspertizlik Baz Ücret (TL)</t>
  </si>
  <si>
    <t>Büroda dosya üzerinde düzenlenen raporlarda kişi başına her rapor için ►</t>
  </si>
  <si>
    <t>Arazide düzenlenen raporlarda arazide geçen her gün için kişi başına ►</t>
  </si>
  <si>
    <t>Mahkemelerde  açıklama yapılması halinde her celse ya da ek açıklama için ►</t>
  </si>
  <si>
    <t xml:space="preserve"> 10 dosyaya kadar dosya başına ►</t>
  </si>
  <si>
    <t>Arazi çalışmalarında incelikli ölçümler olduğunda HKM Odası birim fiyatları uygulanır</t>
  </si>
  <si>
    <t>Raporların düzenlenmesinde, daktilo, kırtasiye, deney, teknik resim vs. masraflar ayrıca alınır</t>
  </si>
  <si>
    <t>Aynı  dosya  içinde  birden  fazla  rapor düzenlendiğinde her rapor  için normal ücretin %50‘si oranında ek ücret alınır</t>
  </si>
  <si>
    <t>Arazide ve iş sahalarında düzenlenen raporlarda</t>
  </si>
  <si>
    <t>Hizmet Bölüm Oranı</t>
  </si>
  <si>
    <t>Yöre (Bölge) Katsayısı</t>
  </si>
  <si>
    <t>x</t>
  </si>
  <si>
    <t xml:space="preserve">Proje Asg. Fatura Bedeli </t>
  </si>
  <si>
    <t>Bilirkişilik Ücretleri</t>
  </si>
  <si>
    <t>Ekspertizlik Ücretleri</t>
  </si>
  <si>
    <t>10.001-80.000</t>
  </si>
  <si>
    <t>%</t>
  </si>
  <si>
    <t>Kurulunca (Değişik ibare:RG-6/8/2011-28017) yılda 1 kez belirlenir ve tebliğlerle ilan edilir.</t>
  </si>
  <si>
    <t xml:space="preserve">herhangi bir yazılı hatırlatmaya gerek kalmadan, asgari ücretlerin belirlenmesinde kullanılan "yapı yaklaşık maliyetleri" ve varsa başka önerilerini </t>
  </si>
  <si>
    <t xml:space="preserve"> yazılı olarak Oda Yönetim Kuruluna iletirler.</t>
  </si>
  <si>
    <t xml:space="preserve">ODA Yönetim Kurulu, kendisi veya kuracağı komisyon kanalı ile önerileri değerlendirir ve kararlaştıracağı asgari ücretleri yukarıda belirtilen </t>
  </si>
  <si>
    <t>tarihlerden önce Şubelere gönderir ayrıca ilan yoluyla kamuoyuna duyurur.</t>
  </si>
  <si>
    <t xml:space="preserve">Şube Yönetim Kurulları tesisat mühendisliği hizmetleri için bu Yönetmelik içinde verilen bölge katsayıları ile Asgari ücretleri çarparak elde edeceği </t>
  </si>
  <si>
    <t>listeleri bölgesindeki Tescilli Bürolara bildirir ve 1 nüshasını ODA Merkezine iletir. Diğer hizmetlerde bölge katsayısı uygulanmaz.</t>
  </si>
  <si>
    <t xml:space="preserve">Asgari ücretlere KDV dahil olmayıp, fatura veya makbuzda ayrıca gösterilip tahsil edilir. Bu Yönetmelikte belirlenen ücretler "asgari" olup, işin ve </t>
  </si>
  <si>
    <t>işyerinin özelliğine göre daha yüksek ücretle hizmet yapmak yetkisi (Değişik ibare:RG-6/8/2011-28017) serbest mühendis ve/veya</t>
  </si>
  <si>
    <t>müşavirlere aittir.</t>
  </si>
  <si>
    <t xml:space="preserve">Bilirkişilik-Eksperlik-Hakemlik ve Teknik Müşavirlik Yönetmeliği </t>
  </si>
  <si>
    <t>TMMOB</t>
  </si>
  <si>
    <t>TMMOB BİLİRKİŞİLİK ÜCRETLERİ (Madde 7 deki ücretler)</t>
  </si>
  <si>
    <t>TMMOB MMO SMMH Asgari Ücretler</t>
  </si>
  <si>
    <t xml:space="preserve">   Dikkat: KDV Hariç Bedellerdir</t>
  </si>
  <si>
    <t>Hesaplanan değerler KDV hariç bedellerdir</t>
  </si>
  <si>
    <t>ad.</t>
  </si>
  <si>
    <r>
      <t xml:space="preserve">(Varsa) Bina Tip Uygulama Adedi </t>
    </r>
    <r>
      <rPr>
        <b/>
        <sz val="8"/>
        <rFont val="Arial"/>
        <family val="2"/>
      </rPr>
      <t xml:space="preserve">► </t>
    </r>
  </si>
  <si>
    <r>
      <t xml:space="preserve">Yapı Ruhsatına Esas İnşaat Alanı [m²] </t>
    </r>
    <r>
      <rPr>
        <b/>
        <sz val="8"/>
        <color indexed="63"/>
        <rFont val="Arial"/>
        <family val="2"/>
      </rPr>
      <t xml:space="preserve">► </t>
    </r>
  </si>
  <si>
    <r>
      <t xml:space="preserve">Tesisat Sınıfı </t>
    </r>
    <r>
      <rPr>
        <b/>
        <sz val="8"/>
        <color indexed="63"/>
        <rFont val="Arial"/>
        <family val="2"/>
      </rPr>
      <t xml:space="preserve">► </t>
    </r>
  </si>
  <si>
    <r>
      <t>m</t>
    </r>
    <r>
      <rPr>
        <sz val="9.5"/>
        <color indexed="63"/>
        <rFont val="Arial Tur"/>
        <family val="0"/>
      </rPr>
      <t>²</t>
    </r>
  </si>
  <si>
    <t>Proje Asgari Ücreti Hesap Programı</t>
  </si>
  <si>
    <t>1 Bilirkişi, Arzide 1 Gün, 1 Rapor ücreti</t>
  </si>
  <si>
    <t xml:space="preserve">Büroda Çalışan Bilirkişi Sayısı► </t>
  </si>
  <si>
    <t xml:space="preserve">Arazide Çalışan Bilirkişi Sayısı► </t>
  </si>
  <si>
    <t>10 dosyadan fazlası için dosya başına ►</t>
  </si>
  <si>
    <t>Büroda Dosya Üzerinde Çalışıldığı Durumda</t>
  </si>
  <si>
    <t>Arazide Çalışıldığı Durumda</t>
  </si>
  <si>
    <t xml:space="preserve">Düzenlediği Toplam Rapor Sayısı ► </t>
  </si>
  <si>
    <t xml:space="preserve">"Varsa" İncelediği Dosya Adedi ► </t>
  </si>
  <si>
    <t xml:space="preserve">Arazide Geçirilen Gün Sayısı ► </t>
  </si>
  <si>
    <t>gün</t>
  </si>
  <si>
    <t>Arazide Çalışıldığı Durumda ▼</t>
  </si>
  <si>
    <t>Büroda Dosya Üzerinde Çalışıldığı Durumda ▼</t>
  </si>
  <si>
    <t xml:space="preserve">Büroda Çalışan Bilirkişi Sayısı ► </t>
  </si>
  <si>
    <t xml:space="preserve">Arazide Çalışan Bilirkişi Sayısı ► </t>
  </si>
  <si>
    <r>
      <rPr>
        <b/>
        <u val="single"/>
        <sz val="10"/>
        <color indexed="63"/>
        <rFont val="Arial"/>
        <family val="2"/>
      </rPr>
      <t>"Varsa"</t>
    </r>
    <r>
      <rPr>
        <b/>
        <sz val="10"/>
        <color indexed="63"/>
        <rFont val="Arial"/>
        <family val="2"/>
      </rPr>
      <t xml:space="preserve"> İncelediği Dosya Adedi ► </t>
    </r>
  </si>
  <si>
    <t xml:space="preserve">TMMOB BİLİRKİŞİLİK ÜCRETLERİ </t>
  </si>
  <si>
    <t xml:space="preserve">1. Mekanik Tesisat Mühendisliği Proje Hizmetleri Asgari Ücretleri </t>
  </si>
  <si>
    <r>
      <t>(m</t>
    </r>
    <r>
      <rPr>
        <vertAlign val="superscript"/>
        <sz val="10"/>
        <rFont val="Arial Narrow"/>
        <family val="2"/>
      </rPr>
      <t>2</t>
    </r>
    <r>
      <rPr>
        <sz val="10"/>
        <rFont val="Arial Narrow"/>
        <family val="2"/>
      </rPr>
      <t>)</t>
    </r>
  </si>
  <si>
    <t>3 A SINIF</t>
  </si>
  <si>
    <t>3 B SINIF</t>
  </si>
  <si>
    <t>4 A SINIF</t>
  </si>
  <si>
    <t>4 B SINIF</t>
  </si>
  <si>
    <t>4 C SINIF</t>
  </si>
  <si>
    <t>5 A SINIF</t>
  </si>
  <si>
    <t>5 B SINIF</t>
  </si>
  <si>
    <t>5 C SINIF</t>
  </si>
  <si>
    <t>5 D SINIF</t>
  </si>
  <si>
    <t>TL/m²</t>
  </si>
  <si>
    <t>3. Asansör ve yürüyen merdiven proje ücretleri</t>
  </si>
  <si>
    <t xml:space="preserve">4. Park,  bahçe,  açık  alan  sulama  tesisatı  proje  ücreti  </t>
  </si>
  <si>
    <r>
      <t>500 m</t>
    </r>
    <r>
      <rPr>
        <vertAlign val="superscript"/>
        <sz val="10"/>
        <rFont val="Arial Narrow"/>
        <family val="2"/>
      </rPr>
      <t>2</t>
    </r>
  </si>
  <si>
    <r>
      <t>100.000 m</t>
    </r>
    <r>
      <rPr>
        <vertAlign val="superscript"/>
        <sz val="10"/>
        <rFont val="Arial Narrow"/>
        <family val="2"/>
      </rPr>
      <t>2</t>
    </r>
  </si>
  <si>
    <r>
      <t>50.000 m</t>
    </r>
    <r>
      <rPr>
        <vertAlign val="superscript"/>
        <sz val="10"/>
        <rFont val="Arial Narrow"/>
        <family val="2"/>
      </rPr>
      <t>2</t>
    </r>
  </si>
  <si>
    <r>
      <t>20.000 m</t>
    </r>
    <r>
      <rPr>
        <vertAlign val="superscript"/>
        <sz val="10"/>
        <rFont val="Arial Narrow"/>
        <family val="2"/>
      </rPr>
      <t>2</t>
    </r>
  </si>
  <si>
    <r>
      <t>10.000 m</t>
    </r>
    <r>
      <rPr>
        <vertAlign val="superscript"/>
        <sz val="10"/>
        <rFont val="Arial Narrow"/>
        <family val="2"/>
      </rPr>
      <t>2</t>
    </r>
  </si>
  <si>
    <r>
      <t>5.000 m</t>
    </r>
    <r>
      <rPr>
        <vertAlign val="superscript"/>
        <sz val="10"/>
        <rFont val="Arial Narrow"/>
        <family val="2"/>
      </rPr>
      <t>2</t>
    </r>
  </si>
  <si>
    <r>
      <t>3.000 m</t>
    </r>
    <r>
      <rPr>
        <vertAlign val="superscript"/>
        <sz val="10"/>
        <rFont val="Arial Narrow"/>
        <family val="2"/>
      </rPr>
      <t>2</t>
    </r>
  </si>
  <si>
    <r>
      <t>2.000 m</t>
    </r>
    <r>
      <rPr>
        <vertAlign val="superscript"/>
        <sz val="10"/>
        <rFont val="Arial Narrow"/>
        <family val="2"/>
      </rPr>
      <t>2</t>
    </r>
  </si>
  <si>
    <r>
      <t>1.000 m</t>
    </r>
    <r>
      <rPr>
        <vertAlign val="superscript"/>
        <sz val="10"/>
        <rFont val="Arial Narrow"/>
        <family val="2"/>
      </rPr>
      <t>2</t>
    </r>
  </si>
  <si>
    <t xml:space="preserve">2. TESİSAT MÜHENDİSLİĞİ PROJE HİZMETLERİ MESLEKİ DENETİM ÜCRETLERİ* </t>
  </si>
  <si>
    <t xml:space="preserve">1. Sınıf Mekanik Tesisat </t>
  </si>
  <si>
    <t xml:space="preserve">2. Sınıf Mekanik Tesisat </t>
  </si>
  <si>
    <t xml:space="preserve">3. Sınıf Mekanik Tesisat </t>
  </si>
  <si>
    <t xml:space="preserve">4. Sınıf Mekanik Tesisat </t>
  </si>
  <si>
    <t xml:space="preserve">5. Sınıf Mekanik Tesisat </t>
  </si>
  <si>
    <t xml:space="preserve">    3.a. Asansör Dahil Değil</t>
  </si>
  <si>
    <t xml:space="preserve">    3.b. Asansör Dahil</t>
  </si>
  <si>
    <t xml:space="preserve"> 4. ASANSÖR VE YÜRÜYEN MERDİVEN PROJE MESLEKİ DENETİM ÜCRETLERİ </t>
  </si>
  <si>
    <t>4.1. Monşarj  proje  mesleki  denetim  bedeli</t>
  </si>
  <si>
    <t xml:space="preserve">4.2. İnsan  ve  yük  asansörleri  </t>
  </si>
  <si>
    <t xml:space="preserve">4.4. Yürüyen  merdivenler </t>
  </si>
  <si>
    <t xml:space="preserve">4.3. Hasta  ve  özel  asansörler </t>
  </si>
  <si>
    <t xml:space="preserve">3.2. İnsan  ve  yük  asansörleri  </t>
  </si>
  <si>
    <t xml:space="preserve">3.3. Hasta  ve  özel  asansörler </t>
  </si>
  <si>
    <t xml:space="preserve">3.4. Yürüyen  merdivenler </t>
  </si>
  <si>
    <t>3.1. Monşarj  proje  bedeli</t>
  </si>
  <si>
    <r>
      <t>MESLEKİ DENETİM ÜCRETLERİ</t>
    </r>
    <r>
      <rPr>
        <b/>
        <sz val="15"/>
        <color indexed="10"/>
        <rFont val="Arial"/>
        <family val="2"/>
      </rPr>
      <t xml:space="preserve"> ▼</t>
    </r>
  </si>
  <si>
    <r>
      <t>FATURA ÜCRETLER</t>
    </r>
    <r>
      <rPr>
        <b/>
        <sz val="15"/>
        <color indexed="10"/>
        <rFont val="Arial"/>
        <family val="2"/>
      </rPr>
      <t>İ ▼</t>
    </r>
  </si>
  <si>
    <t xml:space="preserve">5. PARK, BAHÇE, AÇIK ALAN SULAMA TESİSATI PROJE MESLEKİ DENETİM ÜCRETLERİ </t>
  </si>
  <si>
    <t>2.001-5.000 m2 Arası</t>
  </si>
  <si>
    <t>5.001-20.000 m2 Arası</t>
  </si>
  <si>
    <t>20.001-50.000 m2 Arası</t>
  </si>
  <si>
    <t>50.001-100.000 m2 Arası</t>
  </si>
  <si>
    <t>5.1.</t>
  </si>
  <si>
    <t>5.2.</t>
  </si>
  <si>
    <t>5.3.</t>
  </si>
  <si>
    <t>5.4.</t>
  </si>
  <si>
    <t>5.5.</t>
  </si>
  <si>
    <r>
      <t xml:space="preserve">TOPLAM İnsan Asansörü Adedi </t>
    </r>
    <r>
      <rPr>
        <b/>
        <sz val="8"/>
        <color indexed="63"/>
        <rFont val="Arial"/>
        <family val="2"/>
      </rPr>
      <t xml:space="preserve">► </t>
    </r>
  </si>
  <si>
    <r>
      <t xml:space="preserve">Kısmi Tadilat Projesi mi? </t>
    </r>
    <r>
      <rPr>
        <b/>
        <sz val="8"/>
        <color indexed="63"/>
        <rFont val="Arial"/>
        <family val="2"/>
      </rPr>
      <t xml:space="preserve">► </t>
    </r>
  </si>
  <si>
    <t>X</t>
  </si>
  <si>
    <t>Mak. Müh. Halil Bulucu tarafından hazırlanmıştır</t>
  </si>
  <si>
    <t>TMMOB EKSPERLİK ÜCRETLERİ (Madde 8 deki ücret: A: xxxx yılı için (…..-TL) olmak üzere kısmına bakınız)</t>
  </si>
  <si>
    <t>1) Büroda  dosya  üzerinde  düzenlenen  raporlarda  kişi  başına her rapor için ►</t>
  </si>
  <si>
    <t>3) Mahkemelerde  açıklama  yapılması  halinde  her  celse  ya da ek açıklama için ►</t>
  </si>
  <si>
    <t>5) 10   dosyaya   kadar   dosya   başına ►</t>
  </si>
  <si>
    <t>5)10  dosyadan fazlası için dosya  başına ►</t>
  </si>
  <si>
    <t>1a) Arazide geçen her gün için kişi başına ►</t>
  </si>
  <si>
    <t>1b) her rapor için kişi başına ►</t>
  </si>
  <si>
    <t>b) Kamu kuruluşlarında ya da özel kuruluşlarda ya da şahısların doğrudan bilirkişilik işlemlerinde</t>
  </si>
  <si>
    <r>
      <t>Madde 5</t>
    </r>
    <r>
      <rPr>
        <sz val="9"/>
        <rFont val="Arial Narrow"/>
        <family val="2"/>
      </rPr>
      <t> - </t>
    </r>
    <r>
      <rPr>
        <b/>
        <sz val="9"/>
        <color indexed="63"/>
        <rFont val="Arial Narrow"/>
        <family val="2"/>
      </rPr>
      <t>(Değişik ibare:RG-6/8/2011-28017) </t>
    </r>
    <r>
      <rPr>
        <u val="single"/>
        <sz val="9"/>
        <color indexed="63"/>
        <rFont val="Arial Narrow"/>
        <family val="2"/>
      </rPr>
      <t>Serbest mühendislik ve/veya müşavirlik hizmetleri</t>
    </r>
    <r>
      <rPr>
        <sz val="9"/>
        <rFont val="Arial Narrow"/>
        <family val="2"/>
      </rPr>
      <t xml:space="preserve"> asgari ücretleri MMO Yönetim </t>
    </r>
  </si>
  <si>
    <r>
      <t>Uygulama </t>
    </r>
    <r>
      <rPr>
        <b/>
        <sz val="9"/>
        <color indexed="63"/>
        <rFont val="Arial Narrow"/>
        <family val="2"/>
      </rPr>
      <t>(Değişik ibare:RG-6/8/2011-28017) </t>
    </r>
    <r>
      <rPr>
        <u val="single"/>
        <sz val="9"/>
        <color indexed="63"/>
        <rFont val="Arial Narrow"/>
        <family val="2"/>
      </rPr>
      <t>tarihi 1 Temmuzdur</t>
    </r>
    <r>
      <rPr>
        <sz val="9"/>
        <rFont val="Arial Narrow"/>
        <family val="2"/>
      </rPr>
      <t>. Bu tarihlerden en geç 30 gün önce Şube Yönetim Kurulları,</t>
    </r>
  </si>
  <si>
    <t>23.02.2022 Güncelleme</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</si>
</sst>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yy;@"/>
    <numFmt numFmtId="181" formatCode="dd/mm/yyyy;@"/>
    <numFmt numFmtId="182" formatCode="#,##0.0"/>
    <numFmt numFmtId="183" formatCode="hhmm;@"/>
    <numFmt numFmtId="184" formatCode="dd/mm/yy\ /\ hh:mm;@"/>
    <numFmt numFmtId="185" formatCode="0#"/>
    <numFmt numFmtId="186" formatCode="0000#"/>
    <numFmt numFmtId="187" formatCode="000#"/>
    <numFmt numFmtId="188" formatCode="dd\ mmmm\ yyyy"/>
    <numFmt numFmtId="189" formatCode="00000#"/>
    <numFmt numFmtId="190" formatCode="00###"/>
    <numFmt numFmtId="191" formatCode="00###\ "/>
    <numFmt numFmtId="192" formatCode="dd\.mm\.yyyy;@"/>
    <numFmt numFmtId="193" formatCode="dd\.mm\.yy"/>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0\ &quot;TL&quot;"/>
    <numFmt numFmtId="200" formatCode="#,##0\ &quot;TL&quot;"/>
    <numFmt numFmtId="201" formatCode="&quot;Evet&quot;;&quot;Evet&quot;;&quot;Hayır&quot;"/>
    <numFmt numFmtId="202" formatCode="&quot;Doğru&quot;;&quot;Doğru&quot;;&quot;Yanlış&quot;"/>
    <numFmt numFmtId="203" formatCode="&quot;Açık&quot;;&quot;Açık&quot;;&quot;Kapalı&quot;"/>
    <numFmt numFmtId="204" formatCode="#,##0.000"/>
    <numFmt numFmtId="205" formatCode="[$¥€-2]\ #,##0.00_);[Red]\([$€-2]\ #,##0.00\)"/>
  </numFmts>
  <fonts count="201">
    <font>
      <sz val="10"/>
      <name val="Arial"/>
      <family val="0"/>
    </font>
    <font>
      <sz val="11"/>
      <color indexed="8"/>
      <name val="Calibri"/>
      <family val="2"/>
    </font>
    <font>
      <b/>
      <sz val="10"/>
      <color indexed="10"/>
      <name val="Arial"/>
      <family val="2"/>
    </font>
    <font>
      <sz val="10"/>
      <name val="Arial Tur"/>
      <family val="0"/>
    </font>
    <font>
      <sz val="10"/>
      <name val="Courier"/>
      <family val="1"/>
    </font>
    <font>
      <sz val="10"/>
      <name val="Century Gothic"/>
      <family val="2"/>
    </font>
    <font>
      <sz val="10"/>
      <color indexed="10"/>
      <name val="Century Gothic"/>
      <family val="2"/>
    </font>
    <font>
      <b/>
      <sz val="10"/>
      <name val="Century Gothic"/>
      <family val="2"/>
    </font>
    <font>
      <b/>
      <sz val="10"/>
      <color indexed="10"/>
      <name val="Century Gothic"/>
      <family val="2"/>
    </font>
    <font>
      <sz val="9"/>
      <name val="Century Gothic"/>
      <family val="2"/>
    </font>
    <font>
      <sz val="10"/>
      <color indexed="20"/>
      <name val="Century Gothic"/>
      <family val="2"/>
    </font>
    <font>
      <sz val="10"/>
      <color indexed="10"/>
      <name val="Arial"/>
      <family val="2"/>
    </font>
    <font>
      <i/>
      <sz val="10"/>
      <name val="Century Gothic"/>
      <family val="2"/>
    </font>
    <font>
      <b/>
      <i/>
      <sz val="7"/>
      <color indexed="10"/>
      <name val="Century Gothic"/>
      <family val="2"/>
    </font>
    <font>
      <sz val="10"/>
      <color indexed="9"/>
      <name val="Century Gothic"/>
      <family val="2"/>
    </font>
    <font>
      <sz val="7.5"/>
      <color indexed="10"/>
      <name val="Century Gothic"/>
      <family val="2"/>
    </font>
    <font>
      <i/>
      <sz val="8"/>
      <name val="Century Gothic"/>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sz val="8"/>
      <name val="Tahoma"/>
      <family val="2"/>
    </font>
    <font>
      <b/>
      <sz val="8"/>
      <name val="Tahoma"/>
      <family val="2"/>
    </font>
    <font>
      <b/>
      <sz val="9"/>
      <name val="Tahoma"/>
      <family val="2"/>
    </font>
    <font>
      <sz val="9"/>
      <name val="Tahoma"/>
      <family val="2"/>
    </font>
    <font>
      <b/>
      <sz val="8"/>
      <name val="Century Gothic"/>
      <family val="2"/>
    </font>
    <font>
      <sz val="1"/>
      <name val="Arial"/>
      <family val="2"/>
    </font>
    <font>
      <b/>
      <sz val="1"/>
      <name val="Arial"/>
      <family val="2"/>
    </font>
    <font>
      <sz val="1"/>
      <color indexed="10"/>
      <name val="Arial"/>
      <family val="2"/>
    </font>
    <font>
      <sz val="1"/>
      <color indexed="10"/>
      <name val="Century Gothic"/>
      <family val="2"/>
    </font>
    <font>
      <sz val="1"/>
      <name val="Century Gothic"/>
      <family val="2"/>
    </font>
    <font>
      <sz val="1"/>
      <color indexed="9"/>
      <name val="Century Gothic"/>
      <family val="2"/>
    </font>
    <font>
      <sz val="10"/>
      <name val="Arial Narrow"/>
      <family val="2"/>
    </font>
    <font>
      <b/>
      <sz val="10"/>
      <name val="Arial Narrow"/>
      <family val="2"/>
    </font>
    <font>
      <u val="single"/>
      <sz val="10"/>
      <name val="Arial Narrow"/>
      <family val="2"/>
    </font>
    <font>
      <b/>
      <i/>
      <sz val="10"/>
      <name val="Arial Narrow"/>
      <family val="2"/>
    </font>
    <font>
      <sz val="10"/>
      <color indexed="10"/>
      <name val="Arial Narrow"/>
      <family val="2"/>
    </font>
    <font>
      <sz val="10"/>
      <color indexed="30"/>
      <name val="Arial Narrow"/>
      <family val="2"/>
    </font>
    <font>
      <b/>
      <sz val="10"/>
      <color indexed="30"/>
      <name val="Arial Narrow"/>
      <family val="2"/>
    </font>
    <font>
      <sz val="10"/>
      <color indexed="17"/>
      <name val="Century Gothic"/>
      <family val="2"/>
    </font>
    <font>
      <sz val="8"/>
      <color indexed="17"/>
      <name val="Century Gothic"/>
      <family val="2"/>
    </font>
    <font>
      <sz val="9.5"/>
      <color indexed="17"/>
      <name val="Century Gothic"/>
      <family val="2"/>
    </font>
    <font>
      <sz val="5"/>
      <name val="Arial"/>
      <family val="2"/>
    </font>
    <font>
      <sz val="5"/>
      <color indexed="10"/>
      <name val="Arial"/>
      <family val="2"/>
    </font>
    <font>
      <sz val="5"/>
      <name val="Century Gothic"/>
      <family val="2"/>
    </font>
    <font>
      <sz val="5"/>
      <color indexed="10"/>
      <name val="Century Gothic"/>
      <family val="2"/>
    </font>
    <font>
      <i/>
      <sz val="5"/>
      <name val="Century Gothic"/>
      <family val="2"/>
    </font>
    <font>
      <b/>
      <sz val="5"/>
      <color indexed="10"/>
      <name val="Century Gothic"/>
      <family val="2"/>
    </font>
    <font>
      <sz val="15"/>
      <color indexed="10"/>
      <name val="Century Gothic"/>
      <family val="2"/>
    </font>
    <font>
      <b/>
      <i/>
      <sz val="9"/>
      <color indexed="9"/>
      <name val="Arial"/>
      <family val="2"/>
    </font>
    <font>
      <b/>
      <sz val="12.5"/>
      <color indexed="10"/>
      <name val="Arial Narrow"/>
      <family val="2"/>
    </font>
    <font>
      <b/>
      <sz val="10"/>
      <name val="Arial"/>
      <family val="2"/>
    </font>
    <font>
      <sz val="3"/>
      <name val="Century Gothic"/>
      <family val="2"/>
    </font>
    <font>
      <sz val="3"/>
      <color indexed="10"/>
      <name val="Century Gothic"/>
      <family val="2"/>
    </font>
    <font>
      <b/>
      <sz val="10"/>
      <color indexed="63"/>
      <name val="Arial"/>
      <family val="2"/>
    </font>
    <font>
      <sz val="5"/>
      <color indexed="9"/>
      <name val="Century Gothic"/>
      <family val="2"/>
    </font>
    <font>
      <i/>
      <sz val="9"/>
      <color indexed="10"/>
      <name val="Arial"/>
      <family val="2"/>
    </font>
    <font>
      <b/>
      <sz val="8"/>
      <name val="Arial"/>
      <family val="2"/>
    </font>
    <font>
      <b/>
      <sz val="8"/>
      <color indexed="63"/>
      <name val="Arial"/>
      <family val="2"/>
    </font>
    <font>
      <b/>
      <i/>
      <sz val="12"/>
      <color indexed="9"/>
      <name val="Arial Narrow"/>
      <family val="2"/>
    </font>
    <font>
      <b/>
      <i/>
      <u val="single"/>
      <sz val="10"/>
      <color indexed="9"/>
      <name val="Arial Narrow"/>
      <family val="2"/>
    </font>
    <font>
      <sz val="5"/>
      <color indexed="10"/>
      <name val="Arial Tur"/>
      <family val="0"/>
    </font>
    <font>
      <sz val="3"/>
      <color indexed="9"/>
      <name val="Century Gothic"/>
      <family val="2"/>
    </font>
    <font>
      <i/>
      <sz val="3"/>
      <name val="Century Gothic"/>
      <family val="2"/>
    </font>
    <font>
      <sz val="9"/>
      <name val="Arial"/>
      <family val="2"/>
    </font>
    <font>
      <sz val="9"/>
      <color indexed="10"/>
      <name val="Century Gothic"/>
      <family val="2"/>
    </font>
    <font>
      <sz val="15"/>
      <color indexed="10"/>
      <name val="Arial Tur"/>
      <family val="0"/>
    </font>
    <font>
      <sz val="15"/>
      <name val="Century Gothic"/>
      <family val="2"/>
    </font>
    <font>
      <sz val="15"/>
      <name val="Arial"/>
      <family val="2"/>
    </font>
    <font>
      <b/>
      <sz val="15"/>
      <color indexed="10"/>
      <name val="Century Gothic"/>
      <family val="2"/>
    </font>
    <font>
      <sz val="3"/>
      <name val="Arial"/>
      <family val="2"/>
    </font>
    <font>
      <b/>
      <sz val="3"/>
      <color indexed="10"/>
      <name val="Century Gothic"/>
      <family val="2"/>
    </font>
    <font>
      <sz val="9.5"/>
      <color indexed="63"/>
      <name val="Arial Tur"/>
      <family val="0"/>
    </font>
    <font>
      <sz val="8"/>
      <name val="Arial Narrow"/>
      <family val="2"/>
    </font>
    <font>
      <sz val="3"/>
      <color indexed="47"/>
      <name val="Century Gothic"/>
      <family val="2"/>
    </font>
    <font>
      <sz val="8"/>
      <color indexed="10"/>
      <name val="Arial Narrow"/>
      <family val="2"/>
    </font>
    <font>
      <b/>
      <sz val="8"/>
      <color indexed="10"/>
      <name val="Arial Narrow"/>
      <family val="2"/>
    </font>
    <font>
      <b/>
      <u val="single"/>
      <sz val="10"/>
      <color indexed="63"/>
      <name val="Arial"/>
      <family val="2"/>
    </font>
    <font>
      <vertAlign val="superscript"/>
      <sz val="10"/>
      <name val="Arial Narrow"/>
      <family val="2"/>
    </font>
    <font>
      <b/>
      <sz val="15"/>
      <color indexed="10"/>
      <name val="Arial"/>
      <family val="2"/>
    </font>
    <font>
      <b/>
      <u val="single"/>
      <sz val="15"/>
      <color indexed="10"/>
      <name val="Arial"/>
      <family val="2"/>
    </font>
    <font>
      <b/>
      <sz val="5"/>
      <name val="Arial"/>
      <family val="2"/>
    </font>
    <font>
      <sz val="9"/>
      <name val="Arial Narrow"/>
      <family val="2"/>
    </font>
    <font>
      <sz val="9"/>
      <color indexed="10"/>
      <name val="Arial Narrow"/>
      <family val="2"/>
    </font>
    <font>
      <b/>
      <sz val="9"/>
      <color indexed="63"/>
      <name val="Arial Narrow"/>
      <family val="2"/>
    </font>
    <font>
      <u val="single"/>
      <sz val="9"/>
      <color indexed="63"/>
      <name val="Arial Narrow"/>
      <family val="2"/>
    </font>
    <font>
      <sz val="3"/>
      <color indexed="10"/>
      <name val="Arial"/>
      <family val="2"/>
    </font>
    <font>
      <sz val="3"/>
      <color indexed="10"/>
      <name val="Arial Narrow"/>
      <family val="2"/>
    </font>
    <font>
      <sz val="3"/>
      <name val="Arial Narrow"/>
      <family val="2"/>
    </font>
    <font>
      <sz val="5"/>
      <color indexed="10"/>
      <name val="Arial Narrow"/>
      <family val="2"/>
    </font>
    <font>
      <sz val="11"/>
      <color indexed="9"/>
      <name val="Calibri"/>
      <family val="2"/>
    </font>
    <font>
      <i/>
      <sz val="11"/>
      <color indexed="23"/>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u val="single"/>
      <sz val="10"/>
      <color indexed="20"/>
      <name val="Arial"/>
      <family val="2"/>
    </font>
    <font>
      <u val="single"/>
      <sz val="10"/>
      <color indexed="12"/>
      <name val="Arial"/>
      <family val="2"/>
    </font>
    <font>
      <sz val="11"/>
      <color indexed="20"/>
      <name val="Calibri"/>
      <family val="2"/>
    </font>
    <font>
      <sz val="11"/>
      <color indexed="19"/>
      <name val="Calibri"/>
      <family val="2"/>
    </font>
    <font>
      <b/>
      <sz val="11"/>
      <color indexed="8"/>
      <name val="Calibri"/>
      <family val="2"/>
    </font>
    <font>
      <sz val="1"/>
      <color indexed="9"/>
      <name val="Arial"/>
      <family val="2"/>
    </font>
    <font>
      <i/>
      <sz val="10"/>
      <color indexed="10"/>
      <name val="Century Gothic"/>
      <family val="2"/>
    </font>
    <font>
      <sz val="7.5"/>
      <color indexed="9"/>
      <name val="Century Gothic"/>
      <family val="2"/>
    </font>
    <font>
      <b/>
      <sz val="1"/>
      <color indexed="10"/>
      <name val="Century Gothic"/>
      <family val="2"/>
    </font>
    <font>
      <b/>
      <sz val="10"/>
      <color indexed="8"/>
      <name val="Arial Narrow"/>
      <family val="2"/>
    </font>
    <font>
      <b/>
      <sz val="10"/>
      <color indexed="10"/>
      <name val="Arial Narrow"/>
      <family val="2"/>
    </font>
    <font>
      <b/>
      <sz val="10"/>
      <color indexed="30"/>
      <name val="Arial"/>
      <family val="2"/>
    </font>
    <font>
      <sz val="10"/>
      <color indexed="30"/>
      <name val="Arial"/>
      <family val="2"/>
    </font>
    <font>
      <b/>
      <sz val="10"/>
      <color indexed="17"/>
      <name val="Arial"/>
      <family val="2"/>
    </font>
    <font>
      <b/>
      <i/>
      <sz val="10"/>
      <color indexed="17"/>
      <name val="Century Gothic"/>
      <family val="2"/>
    </font>
    <font>
      <b/>
      <sz val="10"/>
      <color indexed="9"/>
      <name val="Arial"/>
      <family val="2"/>
    </font>
    <font>
      <sz val="5"/>
      <color indexed="9"/>
      <name val="Arial"/>
      <family val="2"/>
    </font>
    <font>
      <sz val="10"/>
      <color indexed="17"/>
      <name val="Arial"/>
      <family val="2"/>
    </font>
    <font>
      <sz val="8"/>
      <color indexed="23"/>
      <name val="Arial Narrow"/>
      <family val="2"/>
    </font>
    <font>
      <sz val="10"/>
      <color indexed="40"/>
      <name val="Arial Narrow"/>
      <family val="2"/>
    </font>
    <font>
      <sz val="10"/>
      <color indexed="62"/>
      <name val="Arial Narrow"/>
      <family val="2"/>
    </font>
    <font>
      <sz val="10"/>
      <color indexed="51"/>
      <name val="Arial Narrow"/>
      <family val="2"/>
    </font>
    <font>
      <sz val="8"/>
      <color indexed="9"/>
      <name val="Century Gothic"/>
      <family val="2"/>
    </font>
    <font>
      <b/>
      <sz val="8"/>
      <color indexed="9"/>
      <name val="Century Gothic"/>
      <family val="2"/>
    </font>
    <font>
      <b/>
      <sz val="8"/>
      <color indexed="9"/>
      <name val="Arial"/>
      <family val="2"/>
    </font>
    <font>
      <b/>
      <i/>
      <sz val="10"/>
      <color indexed="9"/>
      <name val="Arial"/>
      <family val="2"/>
    </font>
    <font>
      <i/>
      <sz val="5"/>
      <color indexed="10"/>
      <name val="Century Gothic"/>
      <family val="2"/>
    </font>
    <font>
      <i/>
      <sz val="3"/>
      <color indexed="10"/>
      <name val="Century Gothic"/>
      <family val="2"/>
    </font>
    <font>
      <sz val="15"/>
      <color indexed="9"/>
      <name val="Arial"/>
      <family val="2"/>
    </font>
    <font>
      <sz val="9"/>
      <color indexed="30"/>
      <name val="Arial"/>
      <family val="2"/>
    </font>
    <font>
      <sz val="9.5"/>
      <color indexed="63"/>
      <name val="Arial"/>
      <family val="2"/>
    </font>
    <font>
      <b/>
      <sz val="10.5"/>
      <color indexed="63"/>
      <name val="Century Gothic"/>
      <family val="2"/>
    </font>
    <font>
      <b/>
      <sz val="10"/>
      <color indexed="63"/>
      <name val="Century Gothic"/>
      <family val="2"/>
    </font>
    <font>
      <u val="single"/>
      <sz val="3"/>
      <color indexed="30"/>
      <name val="Arial"/>
      <family val="2"/>
    </font>
    <font>
      <i/>
      <u val="single"/>
      <sz val="9"/>
      <color indexed="9"/>
      <name val="Arial Narrow"/>
      <family val="2"/>
    </font>
    <font>
      <sz val="3"/>
      <color indexed="9"/>
      <name val="Arial"/>
      <family val="2"/>
    </font>
    <font>
      <sz val="10"/>
      <color indexed="9"/>
      <name val="Arial Narrow"/>
      <family val="2"/>
    </font>
    <font>
      <b/>
      <sz val="8"/>
      <color indexed="18"/>
      <name val="Century Gothic"/>
      <family val="2"/>
    </font>
    <font>
      <b/>
      <u val="single"/>
      <sz val="9"/>
      <color indexed="63"/>
      <name val="Arial Narrow"/>
      <family val="2"/>
    </font>
    <font>
      <b/>
      <u val="single"/>
      <sz val="15"/>
      <color indexed="10"/>
      <name val="Arial Narrow"/>
      <family val="2"/>
    </font>
    <font>
      <sz val="11"/>
      <color theme="1"/>
      <name val="Calibri"/>
      <family val="2"/>
    </font>
    <font>
      <sz val="11"/>
      <color theme="0"/>
      <name val="Calibri"/>
      <family val="2"/>
    </font>
    <font>
      <i/>
      <sz val="11"/>
      <color rgb="FF7F7F7F"/>
      <name val="Calibri"/>
      <family val="2"/>
    </font>
    <font>
      <b/>
      <sz val="11"/>
      <color rgb="FF3F3F3F"/>
      <name val="Calibri"/>
      <family val="2"/>
    </font>
    <font>
      <sz val="11"/>
      <color rgb="FF3F3F76"/>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b/>
      <sz val="11"/>
      <color theme="1"/>
      <name val="Calibri"/>
      <family val="2"/>
    </font>
    <font>
      <sz val="11"/>
      <color rgb="FFFF0000"/>
      <name val="Calibri"/>
      <family val="2"/>
    </font>
    <font>
      <sz val="10"/>
      <color rgb="FFFF0000"/>
      <name val="Century Gothic"/>
      <family val="2"/>
    </font>
    <font>
      <sz val="1"/>
      <color theme="0"/>
      <name val="Arial"/>
      <family val="2"/>
    </font>
    <font>
      <i/>
      <sz val="10"/>
      <color rgb="FFFF0000"/>
      <name val="Century Gothic"/>
      <family val="2"/>
    </font>
    <font>
      <sz val="7.5"/>
      <color theme="0"/>
      <name val="Century Gothic"/>
      <family val="2"/>
    </font>
    <font>
      <sz val="1"/>
      <color rgb="FFFF0000"/>
      <name val="Century Gothic"/>
      <family val="2"/>
    </font>
    <font>
      <b/>
      <sz val="1"/>
      <color rgb="FFFF0000"/>
      <name val="Century Gothic"/>
      <family val="2"/>
    </font>
    <font>
      <sz val="10"/>
      <color rgb="FFFF0000"/>
      <name val="Arial Narrow"/>
      <family val="2"/>
    </font>
    <font>
      <sz val="10"/>
      <color rgb="FF0070C0"/>
      <name val="Arial Narrow"/>
      <family val="2"/>
    </font>
    <font>
      <b/>
      <sz val="10"/>
      <color theme="1"/>
      <name val="Arial Narrow"/>
      <family val="2"/>
    </font>
    <font>
      <b/>
      <sz val="10"/>
      <color rgb="FFFF0000"/>
      <name val="Arial Narrow"/>
      <family val="2"/>
    </font>
    <font>
      <b/>
      <sz val="10"/>
      <color rgb="FF0070C0"/>
      <name val="Arial"/>
      <family val="2"/>
    </font>
    <font>
      <sz val="10"/>
      <color rgb="FF0070C0"/>
      <name val="Arial"/>
      <family val="2"/>
    </font>
    <font>
      <b/>
      <sz val="10"/>
      <color rgb="FF00B050"/>
      <name val="Arial"/>
      <family val="2"/>
    </font>
    <font>
      <sz val="10"/>
      <color rgb="FF00B050"/>
      <name val="Century Gothic"/>
      <family val="2"/>
    </font>
    <font>
      <b/>
      <i/>
      <sz val="10"/>
      <color rgb="FF00B050"/>
      <name val="Century Gothic"/>
      <family val="2"/>
    </font>
    <font>
      <b/>
      <sz val="10"/>
      <color theme="0"/>
      <name val="Arial"/>
      <family val="2"/>
    </font>
    <font>
      <sz val="5"/>
      <color theme="0"/>
      <name val="Arial"/>
      <family val="2"/>
    </font>
    <font>
      <sz val="5"/>
      <color rgb="FFFF0000"/>
      <name val="Century Gothic"/>
      <family val="2"/>
    </font>
    <font>
      <sz val="10"/>
      <color rgb="FF00B050"/>
      <name val="Arial"/>
      <family val="2"/>
    </font>
    <font>
      <sz val="8"/>
      <color theme="0" tint="-0.4999699890613556"/>
      <name val="Arial Narrow"/>
      <family val="2"/>
    </font>
    <font>
      <sz val="10"/>
      <color rgb="FF00B0F0"/>
      <name val="Arial Narrow"/>
      <family val="2"/>
    </font>
    <font>
      <sz val="10"/>
      <color rgb="FF7030A0"/>
      <name val="Arial Narrow"/>
      <family val="2"/>
    </font>
    <font>
      <sz val="10"/>
      <color theme="9" tint="-0.24997000396251678"/>
      <name val="Arial Narrow"/>
      <family val="2"/>
    </font>
    <font>
      <sz val="10"/>
      <color theme="6" tint="-0.24997000396251678"/>
      <name val="Arial Narrow"/>
      <family val="2"/>
    </font>
    <font>
      <sz val="8"/>
      <color theme="0"/>
      <name val="Century Gothic"/>
      <family val="2"/>
    </font>
    <font>
      <b/>
      <sz val="8"/>
      <color theme="0"/>
      <name val="Century Gothic"/>
      <family val="2"/>
    </font>
    <font>
      <b/>
      <sz val="8"/>
      <color theme="0"/>
      <name val="Arial"/>
      <family val="2"/>
    </font>
    <font>
      <b/>
      <i/>
      <sz val="10"/>
      <color theme="0"/>
      <name val="Arial"/>
      <family val="2"/>
    </font>
    <font>
      <b/>
      <sz val="10"/>
      <color theme="1" tint="0.34999001026153564"/>
      <name val="Arial"/>
      <family val="2"/>
    </font>
    <font>
      <i/>
      <sz val="5"/>
      <color rgb="FFFF0000"/>
      <name val="Century Gothic"/>
      <family val="2"/>
    </font>
    <font>
      <sz val="3"/>
      <color rgb="FFFF0000"/>
      <name val="Century Gothic"/>
      <family val="2"/>
    </font>
    <font>
      <i/>
      <sz val="3"/>
      <color rgb="FFFF0000"/>
      <name val="Century Gothic"/>
      <family val="2"/>
    </font>
    <font>
      <sz val="9"/>
      <color rgb="FFFF0000"/>
      <name val="Century Gothic"/>
      <family val="2"/>
    </font>
    <font>
      <sz val="15"/>
      <color theme="0"/>
      <name val="Arial"/>
      <family val="2"/>
    </font>
    <font>
      <sz val="15"/>
      <color rgb="FFFF0000"/>
      <name val="Century Gothic"/>
      <family val="2"/>
    </font>
    <font>
      <sz val="3"/>
      <color theme="0"/>
      <name val="Century Gothic"/>
      <family val="2"/>
    </font>
    <font>
      <sz val="9"/>
      <color rgb="FF0070C0"/>
      <name val="Arial"/>
      <family val="2"/>
    </font>
    <font>
      <b/>
      <sz val="5"/>
      <color rgb="FFFF0000"/>
      <name val="Century Gothic"/>
      <family val="2"/>
    </font>
    <font>
      <sz val="9.5"/>
      <color theme="1" tint="0.34999001026153564"/>
      <name val="Arial"/>
      <family val="2"/>
    </font>
    <font>
      <b/>
      <sz val="10.5"/>
      <color theme="1" tint="0.34999001026153564"/>
      <name val="Century Gothic"/>
      <family val="2"/>
    </font>
    <font>
      <b/>
      <sz val="10"/>
      <color theme="1" tint="0.34999001026153564"/>
      <name val="Century Gothic"/>
      <family val="2"/>
    </font>
    <font>
      <u val="single"/>
      <sz val="3"/>
      <color rgb="FF0070C0"/>
      <name val="Arial"/>
      <family val="2"/>
    </font>
    <font>
      <b/>
      <i/>
      <sz val="12"/>
      <color theme="0"/>
      <name val="Arial Narrow"/>
      <family val="2"/>
    </font>
    <font>
      <i/>
      <u val="single"/>
      <sz val="9"/>
      <color theme="0"/>
      <name val="Arial Narrow"/>
      <family val="2"/>
    </font>
    <font>
      <sz val="3"/>
      <color theme="0"/>
      <name val="Arial"/>
      <family val="2"/>
    </font>
    <font>
      <b/>
      <sz val="8"/>
      <color theme="1" tint="0.34999001026153564"/>
      <name val="Arial"/>
      <family val="2"/>
    </font>
    <font>
      <sz val="10"/>
      <color theme="0"/>
      <name val="Arial Narrow"/>
      <family val="2"/>
    </font>
    <font>
      <b/>
      <sz val="8"/>
      <color rgb="FF002060"/>
      <name val="Century Gothic"/>
      <family val="2"/>
    </font>
    <font>
      <b/>
      <sz val="9"/>
      <color rgb="FF444444"/>
      <name val="Arial Narrow"/>
      <family val="2"/>
    </font>
    <font>
      <b/>
      <u val="single"/>
      <sz val="15"/>
      <color rgb="FFFF0000"/>
      <name val="Arial Narrow"/>
      <family val="2"/>
    </font>
    <font>
      <b/>
      <u val="single"/>
      <sz val="9"/>
      <color rgb="FF444444"/>
      <name val="Arial Narrow"/>
      <family val="2"/>
    </font>
  </fonts>
  <fills count="4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rgb="FFA5A5A5"/>
        <bgColor indexed="64"/>
      </patternFill>
    </fill>
    <fill>
      <patternFill patternType="solid">
        <fgColor indexed="46"/>
        <bgColor indexed="64"/>
      </patternFill>
    </fill>
    <fill>
      <patternFill patternType="solid">
        <fgColor rgb="FFFFFFCC"/>
        <bgColor indexed="64"/>
      </patternFill>
    </fill>
    <fill>
      <patternFill patternType="solid">
        <fgColor rgb="FFFFEB9C"/>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theme="0"/>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rgb="FFCC0000"/>
        <bgColor indexed="64"/>
      </patternFill>
    </fill>
    <fill>
      <patternFill patternType="solid">
        <fgColor theme="4"/>
        <bgColor indexed="64"/>
      </patternFill>
    </fill>
    <fill>
      <patternFill patternType="solid">
        <fgColor rgb="FF00B050"/>
        <bgColor indexed="64"/>
      </patternFill>
    </fill>
    <fill>
      <patternFill patternType="solid">
        <fgColor theme="2"/>
        <bgColor indexed="64"/>
      </patternFill>
    </fill>
    <fill>
      <patternFill patternType="solid">
        <fgColor theme="9" tint="0.7999799847602844"/>
        <bgColor indexed="64"/>
      </patternFill>
    </fill>
    <fill>
      <patternFill patternType="solid">
        <fgColor rgb="FFFFFF00"/>
        <bgColor indexed="64"/>
      </patternFill>
    </fill>
    <fill>
      <patternFill patternType="solid">
        <fgColor rgb="FFFF0000"/>
        <bgColor indexed="64"/>
      </patternFill>
    </fill>
    <fill>
      <patternFill patternType="solid">
        <fgColor theme="3"/>
        <bgColor indexed="64"/>
      </patternFill>
    </fill>
    <fill>
      <patternFill patternType="solid">
        <fgColor indexed="13"/>
        <bgColor indexed="64"/>
      </patternFill>
    </fill>
    <fill>
      <patternFill patternType="solid">
        <fgColor rgb="FFFFFF99"/>
        <bgColor indexed="64"/>
      </patternFill>
    </fill>
    <fill>
      <patternFill patternType="solid">
        <fgColor theme="8" tint="0.5999900102615356"/>
        <bgColor indexed="64"/>
      </patternFill>
    </fill>
    <fill>
      <patternFill patternType="solid">
        <fgColor theme="1"/>
        <bgColor indexed="64"/>
      </patternFill>
    </fill>
    <fill>
      <patternFill patternType="solid">
        <fgColor theme="4" tint="0.5999900102615356"/>
        <bgColor indexed="64"/>
      </patternFill>
    </fill>
    <fill>
      <patternFill patternType="solid">
        <fgColor theme="7" tint="0.7999799847602844"/>
        <bgColor indexed="64"/>
      </patternFill>
    </fill>
    <fill>
      <patternFill patternType="lightGray">
        <fgColor rgb="FFFFCCFF"/>
        <bgColor theme="0"/>
      </patternFill>
    </fill>
    <fill>
      <patternFill patternType="solid">
        <fgColor rgb="FF92D050"/>
        <bgColor indexed="64"/>
      </patternFill>
    </fill>
    <fill>
      <patternFill patternType="solid">
        <fgColor rgb="FF00FFFF"/>
        <bgColor indexed="64"/>
      </patternFill>
    </fill>
  </fills>
  <borders count="144">
    <border>
      <left/>
      <right/>
      <top/>
      <bottom/>
      <diagonal/>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indexed="56"/>
      </top>
      <bottom style="double">
        <color indexed="56"/>
      </bottom>
    </border>
    <border>
      <left style="hair"/>
      <right style="hair"/>
      <top style="hair"/>
      <bottom style="hair"/>
    </border>
    <border>
      <left style="thin"/>
      <right/>
      <top>
        <color indexed="63"/>
      </top>
      <bottom style="thin"/>
    </border>
    <border>
      <left/>
      <right/>
      <top>
        <color indexed="63"/>
      </top>
      <bottom style="thin"/>
    </border>
    <border>
      <left/>
      <right style="thin"/>
      <top>
        <color indexed="63"/>
      </top>
      <bottom style="thin"/>
    </border>
    <border>
      <left/>
      <right style="medium"/>
      <top style="medium"/>
      <bottom/>
    </border>
    <border>
      <left style="medium"/>
      <right style="thin"/>
      <top style="thin"/>
      <bottom style="thin"/>
    </border>
    <border>
      <left style="thin"/>
      <right style="thin"/>
      <top style="thin"/>
      <bottom style="thin"/>
    </border>
    <border>
      <left>
        <color indexed="63"/>
      </left>
      <right style="medium"/>
      <top>
        <color indexed="63"/>
      </top>
      <bottom>
        <color indexed="63"/>
      </bottom>
    </border>
    <border>
      <left style="thin"/>
      <right/>
      <top style="thin"/>
      <bottom style="thin"/>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right style="medium"/>
      <top>
        <color indexed="63"/>
      </top>
      <bottom style="medium"/>
    </border>
    <border>
      <left style="thin"/>
      <right style="thin"/>
      <top style="thin"/>
      <bottom/>
    </border>
    <border>
      <left style="thin"/>
      <right style="thin"/>
      <top style="thin"/>
      <bottom style="medium"/>
    </border>
    <border>
      <left style="thin"/>
      <right style="medium"/>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style="thin"/>
    </border>
    <border>
      <left style="medium"/>
      <right style="medium"/>
      <top style="medium"/>
      <bottom>
        <color indexed="63"/>
      </bottom>
    </border>
    <border>
      <left/>
      <right style="thin"/>
      <top style="medium"/>
      <bottom style="thin"/>
    </border>
    <border>
      <left style="thin"/>
      <right style="thin"/>
      <top style="medium"/>
      <bottom style="thin"/>
    </border>
    <border>
      <left style="medium"/>
      <right style="thin"/>
      <top/>
      <bottom style="thin"/>
    </border>
    <border>
      <left style="medium"/>
      <right style="thin"/>
      <top style="thin"/>
      <bottom/>
    </border>
    <border>
      <left style="thin"/>
      <right style="thin"/>
      <top style="medium"/>
      <bottom style="medium"/>
    </border>
    <border>
      <left>
        <color indexed="63"/>
      </left>
      <right style="medium"/>
      <top style="medium"/>
      <bottom style="medium"/>
    </border>
    <border>
      <left style="thin"/>
      <right style="thin"/>
      <top/>
      <bottom style="thin"/>
    </border>
    <border>
      <left style="thin"/>
      <right style="medium"/>
      <top style="thin"/>
      <bottom/>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right/>
      <top style="medium"/>
      <bottom/>
    </border>
    <border>
      <left style="thin"/>
      <right style="medium"/>
      <top style="medium"/>
      <bottom style="thin"/>
    </border>
    <border>
      <left style="medium">
        <color rgb="FFCC0000"/>
      </left>
      <right>
        <color indexed="63"/>
      </right>
      <top style="medium">
        <color rgb="FFCC0000"/>
      </top>
      <bottom style="medium">
        <color rgb="FFCC0000"/>
      </bottom>
    </border>
    <border>
      <left>
        <color indexed="63"/>
      </left>
      <right style="medium">
        <color rgb="FFCC0000"/>
      </right>
      <top style="medium">
        <color rgb="FFCC0000"/>
      </top>
      <bottom style="medium">
        <color rgb="FFCC0000"/>
      </bottom>
    </border>
    <border>
      <left style="medium">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rgb="FF00B050"/>
      </left>
      <right>
        <color indexed="63"/>
      </right>
      <top style="medium">
        <color rgb="FF00B050"/>
      </top>
      <bottom style="medium">
        <color rgb="FF00B050"/>
      </bottom>
    </border>
    <border>
      <left style="medium">
        <color rgb="FF00B050"/>
      </left>
      <right style="thin">
        <color rgb="FF00B050"/>
      </right>
      <top style="thin">
        <color rgb="FF00B050"/>
      </top>
      <bottom style="thin">
        <color rgb="FF00B050"/>
      </bottom>
    </border>
    <border>
      <left style="medium">
        <color rgb="FF00B050"/>
      </left>
      <right style="thin">
        <color rgb="FF00B050"/>
      </right>
      <top style="thin">
        <color rgb="FF00B050"/>
      </top>
      <bottom style="medium">
        <color rgb="FF00B050"/>
      </bottom>
    </border>
    <border>
      <left style="thin">
        <color rgb="FF00B050"/>
      </left>
      <right>
        <color indexed="63"/>
      </right>
      <top style="thin">
        <color rgb="FF00B050"/>
      </top>
      <bottom style="thin">
        <color rgb="FF00B050"/>
      </bottom>
    </border>
    <border>
      <left style="thin">
        <color rgb="FF00B050"/>
      </left>
      <right>
        <color indexed="63"/>
      </right>
      <top style="thin">
        <color rgb="FF00B050"/>
      </top>
      <bottom style="medium">
        <color rgb="FF00B050"/>
      </bottom>
    </border>
    <border>
      <left>
        <color indexed="63"/>
      </left>
      <right>
        <color indexed="63"/>
      </right>
      <top style="medium">
        <color rgb="FFCC0000"/>
      </top>
      <bottom>
        <color indexed="63"/>
      </bottom>
    </border>
    <border>
      <left style="medium">
        <color indexed="30"/>
      </left>
      <right style="medium">
        <color indexed="30"/>
      </right>
      <top style="medium">
        <color indexed="30"/>
      </top>
      <bottom style="medium">
        <color indexed="30"/>
      </bottom>
    </border>
    <border>
      <left style="medium">
        <color rgb="FFCC0000"/>
      </left>
      <right style="medium">
        <color rgb="FFCC0000"/>
      </right>
      <top style="medium">
        <color rgb="FFCC0000"/>
      </top>
      <bottom style="medium">
        <color rgb="FFCC0000"/>
      </bottom>
    </border>
    <border>
      <left style="medium">
        <color rgb="FF00B050"/>
      </left>
      <right style="medium">
        <color rgb="FF00B050"/>
      </right>
      <top style="medium">
        <color rgb="FF00B050"/>
      </top>
      <bottom style="medium">
        <color rgb="FF00B050"/>
      </bottom>
    </border>
    <border>
      <left>
        <color indexed="63"/>
      </left>
      <right style="thin"/>
      <top style="thin"/>
      <bottom style="medium"/>
    </border>
    <border>
      <left>
        <color indexed="63"/>
      </left>
      <right style="thin">
        <color indexed="30"/>
      </right>
      <top style="medium"/>
      <bottom style="hair">
        <color indexed="30"/>
      </bottom>
    </border>
    <border>
      <left>
        <color indexed="63"/>
      </left>
      <right style="medium">
        <color rgb="FF00B050"/>
      </right>
      <top style="medium">
        <color rgb="FF00B050"/>
      </top>
      <bottom style="thin">
        <color rgb="FF00B050"/>
      </bottom>
    </border>
    <border>
      <left>
        <color indexed="63"/>
      </left>
      <right style="medium">
        <color rgb="FF00B050"/>
      </right>
      <top style="thin">
        <color rgb="FF00B050"/>
      </top>
      <bottom style="thin">
        <color rgb="FF00B050"/>
      </bottom>
    </border>
    <border>
      <left>
        <color indexed="63"/>
      </left>
      <right style="medium">
        <color rgb="FF00B050"/>
      </right>
      <top style="thin">
        <color rgb="FF00B050"/>
      </top>
      <bottom style="medium">
        <color rgb="FF00B050"/>
      </bottom>
    </border>
    <border>
      <left>
        <color indexed="63"/>
      </left>
      <right style="medium">
        <color rgb="FF00B050"/>
      </right>
      <top style="medium">
        <color rgb="FF00B050"/>
      </top>
      <bottom style="medium">
        <color rgb="FF00B050"/>
      </bottom>
    </border>
    <border>
      <left/>
      <right/>
      <top style="medium"/>
      <bottom style="medium"/>
    </border>
    <border>
      <left style="medium">
        <color theme="0" tint="-0.4999699890613556"/>
      </left>
      <right style="thin">
        <color theme="0" tint="-0.3499799966812134"/>
      </right>
      <top style="thin">
        <color theme="0" tint="-0.3499799966812134"/>
      </top>
      <bottom style="thin">
        <color theme="0" tint="-0.3499799966812134"/>
      </bottom>
    </border>
    <border>
      <left style="medium">
        <color theme="0" tint="-0.4999699890613556"/>
      </left>
      <right style="thin">
        <color theme="0" tint="-0.3499799966812134"/>
      </right>
      <top style="thin">
        <color theme="0" tint="-0.3499799966812134"/>
      </top>
      <bottom style="medium">
        <color theme="0" tint="-0.4999699890613556"/>
      </bottom>
    </border>
    <border>
      <left style="thin">
        <color indexed="30"/>
      </left>
      <right>
        <color indexed="63"/>
      </right>
      <top style="medium">
        <color indexed="30"/>
      </top>
      <bottom>
        <color indexed="63"/>
      </bottom>
    </border>
    <border>
      <left/>
      <right/>
      <top style="medium">
        <color indexed="30"/>
      </top>
      <bottom/>
    </border>
    <border>
      <left>
        <color indexed="63"/>
      </left>
      <right style="thin">
        <color indexed="30"/>
      </right>
      <top style="medium">
        <color indexed="30"/>
      </top>
      <bottom>
        <color indexed="63"/>
      </bottom>
    </border>
    <border>
      <left style="thin">
        <color indexed="30"/>
      </left>
      <right>
        <color indexed="63"/>
      </right>
      <top>
        <color indexed="63"/>
      </top>
      <bottom>
        <color indexed="63"/>
      </bottom>
    </border>
    <border>
      <left style="thin">
        <color indexed="30"/>
      </left>
      <right>
        <color indexed="63"/>
      </right>
      <top>
        <color indexed="63"/>
      </top>
      <bottom style="thin">
        <color indexed="30"/>
      </bottom>
    </border>
    <border>
      <left>
        <color indexed="63"/>
      </left>
      <right>
        <color indexed="63"/>
      </right>
      <top>
        <color indexed="63"/>
      </top>
      <bottom style="thin">
        <color indexed="30"/>
      </bottom>
    </border>
    <border>
      <left>
        <color indexed="63"/>
      </left>
      <right style="thin">
        <color indexed="30"/>
      </right>
      <top>
        <color indexed="63"/>
      </top>
      <bottom style="thin">
        <color indexed="30"/>
      </bottom>
    </border>
    <border>
      <left>
        <color indexed="63"/>
      </left>
      <right style="thin">
        <color indexed="30"/>
      </right>
      <top>
        <color indexed="63"/>
      </top>
      <bottom>
        <color indexed="63"/>
      </bottom>
    </border>
    <border>
      <left style="medium">
        <color theme="0" tint="-0.4999699890613556"/>
      </left>
      <right style="thin">
        <color theme="0" tint="-0.3499799966812134"/>
      </right>
      <top style="medium">
        <color theme="0" tint="-0.4999699890613556"/>
      </top>
      <bottom style="thin">
        <color theme="0" tint="-0.3499799966812134"/>
      </bottom>
    </border>
    <border>
      <left>
        <color indexed="63"/>
      </left>
      <right style="medium">
        <color theme="0" tint="-0.4999699890613556"/>
      </right>
      <top style="medium">
        <color theme="0" tint="-0.4999699890613556"/>
      </top>
      <bottom style="thin">
        <color theme="0" tint="-0.3499799966812134"/>
      </bottom>
    </border>
    <border>
      <left style="thin">
        <color theme="0" tint="-0.3499799966812134"/>
      </left>
      <right>
        <color indexed="63"/>
      </right>
      <top style="medium">
        <color theme="0" tint="-0.4999699890613556"/>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style="medium">
        <color theme="0" tint="-0.4999699890613556"/>
      </right>
      <top style="thin">
        <color theme="0" tint="-0.3499799966812134"/>
      </top>
      <bottom style="thin">
        <color theme="0" tint="-0.3499799966812134"/>
      </bottom>
    </border>
    <border>
      <left>
        <color indexed="63"/>
      </left>
      <right style="medium">
        <color theme="0" tint="-0.4999699890613556"/>
      </right>
      <top style="thin">
        <color theme="0" tint="-0.3499799966812134"/>
      </top>
      <bottom style="medium">
        <color theme="0" tint="-0.4999699890613556"/>
      </bottom>
    </border>
    <border>
      <left style="medium">
        <color theme="0" tint="-0.4999699890613556"/>
      </left>
      <right style="thin">
        <color theme="0" tint="-0.4999699890613556"/>
      </right>
      <top style="medium">
        <color theme="0" tint="-0.4999699890613556"/>
      </top>
      <bottom style="medium">
        <color theme="0" tint="-0.4999699890613556"/>
      </bottom>
    </border>
    <border>
      <left style="thin">
        <color theme="0" tint="-0.4999699890613556"/>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thin">
        <color theme="0" tint="-0.3499799966812134"/>
      </left>
      <right>
        <color indexed="63"/>
      </right>
      <top style="thin">
        <color theme="0" tint="-0.3499799966812134"/>
      </top>
      <bottom style="medium">
        <color theme="0" tint="-0.4999699890613556"/>
      </bottom>
    </border>
    <border>
      <left style="thick">
        <color theme="3"/>
      </left>
      <right>
        <color indexed="63"/>
      </right>
      <top style="thick">
        <color theme="3"/>
      </top>
      <bottom>
        <color indexed="63"/>
      </bottom>
    </border>
    <border>
      <left>
        <color indexed="63"/>
      </left>
      <right>
        <color indexed="63"/>
      </right>
      <top style="thick">
        <color theme="3"/>
      </top>
      <bottom>
        <color indexed="63"/>
      </bottom>
    </border>
    <border>
      <left>
        <color indexed="63"/>
      </left>
      <right style="thick">
        <color theme="3"/>
      </right>
      <top style="thick">
        <color theme="3"/>
      </top>
      <bottom>
        <color indexed="63"/>
      </bottom>
    </border>
    <border>
      <left style="thick">
        <color theme="3"/>
      </left>
      <right>
        <color indexed="63"/>
      </right>
      <top>
        <color indexed="63"/>
      </top>
      <bottom style="thick">
        <color theme="3"/>
      </bottom>
    </border>
    <border>
      <left style="thin">
        <color theme="0" tint="-0.4999699890613556"/>
      </left>
      <right>
        <color indexed="63"/>
      </right>
      <top style="hair">
        <color theme="0" tint="-0.4999699890613556"/>
      </top>
      <bottom style="hair">
        <color theme="0" tint="-0.4999699890613556"/>
      </bottom>
    </border>
    <border>
      <left>
        <color indexed="63"/>
      </left>
      <right style="medium">
        <color theme="0" tint="-0.4999699890613556"/>
      </right>
      <top style="medium">
        <color theme="0" tint="-0.4999699890613556"/>
      </top>
      <bottom style="hair">
        <color theme="0" tint="-0.4999699890613556"/>
      </bottom>
    </border>
    <border>
      <left style="medium"/>
      <right style="medium">
        <color theme="1" tint="0.49998000264167786"/>
      </right>
      <top style="medium">
        <color theme="0" tint="-0.4999699890613556"/>
      </top>
      <bottom style="hair">
        <color theme="0" tint="-0.4999699890613556"/>
      </bottom>
    </border>
    <border>
      <left style="medium"/>
      <right style="thin">
        <color theme="0" tint="-0.4999699890613556"/>
      </right>
      <top style="medium">
        <color theme="0" tint="-0.4999699890613556"/>
      </top>
      <bottom style="hair">
        <color theme="0" tint="-0.4999699890613556"/>
      </bottom>
    </border>
    <border>
      <left style="medium"/>
      <right style="thin">
        <color theme="0" tint="-0.4999699890613556"/>
      </right>
      <top style="hair">
        <color theme="0" tint="-0.4999699890613556"/>
      </top>
      <bottom style="hair">
        <color theme="0" tint="-0.4999699890613556"/>
      </bottom>
    </border>
    <border>
      <left style="medium"/>
      <right style="thin">
        <color theme="0" tint="-0.4999699890613556"/>
      </right>
      <top style="hair">
        <color theme="0" tint="-0.4999699890613556"/>
      </top>
      <bottom style="medium">
        <color theme="0" tint="-0.4999699890613556"/>
      </bottom>
    </border>
    <border>
      <left style="medium"/>
      <right style="thin">
        <color theme="0" tint="-0.4999699890613556"/>
      </right>
      <top style="hair">
        <color theme="0" tint="-0.4999699890613556"/>
      </top>
      <bottom style="medium"/>
    </border>
    <border>
      <left>
        <color indexed="63"/>
      </left>
      <right style="medium">
        <color theme="0" tint="-0.4999699890613556"/>
      </right>
      <top style="hair">
        <color theme="0" tint="-0.4999699890613556"/>
      </top>
      <bottom style="hair">
        <color theme="0" tint="-0.4999699890613556"/>
      </bottom>
    </border>
    <border>
      <left style="thin">
        <color theme="0" tint="-0.4999699890613556"/>
      </left>
      <right>
        <color indexed="63"/>
      </right>
      <top style="hair">
        <color theme="0" tint="-0.4999699890613556"/>
      </top>
      <bottom style="medium">
        <color theme="0" tint="-0.4999699890613556"/>
      </bottom>
    </border>
    <border>
      <left>
        <color indexed="63"/>
      </left>
      <right style="medium">
        <color theme="0" tint="-0.4999699890613556"/>
      </right>
      <top style="hair">
        <color theme="0" tint="-0.4999699890613556"/>
      </top>
      <bottom style="medium">
        <color theme="0" tint="-0.4999699890613556"/>
      </bottom>
    </border>
    <border>
      <left style="thin">
        <color theme="0" tint="-0.4999699890613556"/>
      </left>
      <right>
        <color indexed="63"/>
      </right>
      <top style="hair">
        <color theme="0" tint="-0.4999699890613556"/>
      </top>
      <bottom style="medium"/>
    </border>
    <border>
      <left>
        <color indexed="63"/>
      </left>
      <right style="medium">
        <color theme="0" tint="-0.4999699890613556"/>
      </right>
      <top style="hair">
        <color theme="0" tint="-0.4999699890613556"/>
      </top>
      <bottom style="medium"/>
    </border>
    <border>
      <left style="thin">
        <color theme="0" tint="-0.4999699890613556"/>
      </left>
      <right>
        <color indexed="63"/>
      </right>
      <top style="medium">
        <color theme="0" tint="-0.4999699890613556"/>
      </top>
      <bottom style="hair">
        <color theme="0" tint="-0.4999699890613556"/>
      </bottom>
    </border>
    <border>
      <left style="medium">
        <color theme="1" tint="0.34999001026153564"/>
      </left>
      <right style="thin">
        <color theme="0" tint="-0.4999699890613556"/>
      </right>
      <top style="medium">
        <color theme="1" tint="0.34999001026153564"/>
      </top>
      <bottom style="hair">
        <color theme="0" tint="-0.4999699890613556"/>
      </bottom>
    </border>
    <border>
      <left style="thin">
        <color theme="0" tint="-0.4999699890613556"/>
      </left>
      <right>
        <color indexed="63"/>
      </right>
      <top style="medium">
        <color theme="1" tint="0.34999001026153564"/>
      </top>
      <bottom style="hair">
        <color theme="0" tint="-0.4999699890613556"/>
      </bottom>
    </border>
    <border>
      <left>
        <color indexed="63"/>
      </left>
      <right style="medium">
        <color theme="1" tint="0.34999001026153564"/>
      </right>
      <top style="medium">
        <color theme="1" tint="0.34999001026153564"/>
      </top>
      <bottom style="hair">
        <color theme="0" tint="-0.4999699890613556"/>
      </bottom>
    </border>
    <border>
      <left style="medium">
        <color theme="1" tint="0.34999001026153564"/>
      </left>
      <right style="thin">
        <color theme="0" tint="-0.4999699890613556"/>
      </right>
      <top style="hair">
        <color theme="0" tint="-0.4999699890613556"/>
      </top>
      <bottom style="hair">
        <color theme="0" tint="-0.4999699890613556"/>
      </bottom>
    </border>
    <border>
      <left>
        <color indexed="63"/>
      </left>
      <right style="medium">
        <color theme="1" tint="0.34999001026153564"/>
      </right>
      <top style="hair">
        <color theme="0" tint="-0.4999699890613556"/>
      </top>
      <bottom style="hair">
        <color theme="0" tint="-0.4999699890613556"/>
      </bottom>
    </border>
    <border>
      <left style="medium">
        <color theme="1" tint="0.34999001026153564"/>
      </left>
      <right style="thin">
        <color theme="0" tint="-0.4999699890613556"/>
      </right>
      <top style="hair">
        <color theme="0" tint="-0.4999699890613556"/>
      </top>
      <bottom style="medium">
        <color theme="1" tint="0.34999001026153564"/>
      </bottom>
    </border>
    <border>
      <left style="thin">
        <color theme="0" tint="-0.4999699890613556"/>
      </left>
      <right>
        <color indexed="63"/>
      </right>
      <top style="hair">
        <color theme="0" tint="-0.4999699890613556"/>
      </top>
      <bottom style="medium">
        <color theme="1" tint="0.34999001026153564"/>
      </bottom>
    </border>
    <border>
      <left>
        <color indexed="63"/>
      </left>
      <right style="medium">
        <color theme="1" tint="0.34999001026153564"/>
      </right>
      <top style="hair">
        <color theme="0" tint="-0.4999699890613556"/>
      </top>
      <bottom style="medium">
        <color theme="1" tint="0.34999001026153564"/>
      </bottom>
    </border>
    <border>
      <left style="medium">
        <color theme="1" tint="0.34999001026153564"/>
      </left>
      <right style="medium">
        <color theme="1" tint="0.34999001026153564"/>
      </right>
      <top style="medium">
        <color theme="1" tint="0.34999001026153564"/>
      </top>
      <bottom style="medium">
        <color theme="1" tint="0.34999001026153564"/>
      </bottom>
    </border>
    <border>
      <left/>
      <right/>
      <top style="thin"/>
      <bottom style="thin"/>
    </border>
    <border>
      <left style="thin"/>
      <right style="thin"/>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style="thin"/>
      <bottom style="medium"/>
    </border>
    <border>
      <left style="hair"/>
      <right style="hair"/>
      <top>
        <color indexed="63"/>
      </top>
      <bottom style="hair"/>
    </border>
    <border>
      <left style="thin"/>
      <right style="hair"/>
      <top>
        <color indexed="63"/>
      </top>
      <bottom style="hair"/>
    </border>
    <border>
      <left style="hair"/>
      <right style="thin"/>
      <top>
        <color indexed="63"/>
      </top>
      <bottom style="hair"/>
    </border>
    <border>
      <left style="thin"/>
      <right>
        <color indexed="63"/>
      </right>
      <top>
        <color indexed="63"/>
      </top>
      <bottom>
        <color indexed="63"/>
      </bottom>
    </border>
    <border>
      <left style="hair"/>
      <right style="thin"/>
      <top style="hair"/>
      <bottom style="hair"/>
    </border>
    <border>
      <left style="hair"/>
      <right style="thin"/>
      <top style="hair"/>
      <bottom style="thin"/>
    </border>
    <border>
      <left>
        <color indexed="63"/>
      </left>
      <right>
        <color indexed="63"/>
      </right>
      <top style="double"/>
      <bottom style="double"/>
    </border>
    <border>
      <left style="dashed">
        <color rgb="FFFF0000"/>
      </left>
      <right>
        <color indexed="63"/>
      </right>
      <top>
        <color indexed="63"/>
      </top>
      <bottom style="dashed">
        <color rgb="FFFF0000"/>
      </bottom>
    </border>
    <border>
      <left>
        <color indexed="63"/>
      </left>
      <right>
        <color indexed="63"/>
      </right>
      <top>
        <color indexed="63"/>
      </top>
      <bottom style="dashed">
        <color rgb="FFFF0000"/>
      </bottom>
    </border>
    <border>
      <left>
        <color indexed="63"/>
      </left>
      <right style="dashed">
        <color rgb="FFFF0000"/>
      </right>
      <top>
        <color indexed="63"/>
      </top>
      <bottom style="dashed">
        <color rgb="FFFF0000"/>
      </bottom>
    </border>
    <border>
      <left>
        <color indexed="63"/>
      </left>
      <right>
        <color indexed="63"/>
      </right>
      <top style="thick">
        <color rgb="FFFFCCFF"/>
      </top>
      <bottom style="thick">
        <color rgb="FFFFCCFF"/>
      </bottom>
    </border>
    <border>
      <left style="thin"/>
      <right style="thin"/>
      <top style="thin"/>
      <bottom style="double"/>
    </border>
    <border>
      <left style="medium"/>
      <right>
        <color indexed="63"/>
      </right>
      <top>
        <color indexed="63"/>
      </top>
      <bottom style="dashed">
        <color rgb="FFFF0000"/>
      </bottom>
    </border>
    <border>
      <left style="dashed">
        <color rgb="FFFF0000"/>
      </left>
      <right>
        <color indexed="63"/>
      </right>
      <top style="dashed">
        <color rgb="FFFF0000"/>
      </top>
      <bottom>
        <color indexed="63"/>
      </bottom>
    </border>
    <border>
      <left>
        <color indexed="63"/>
      </left>
      <right>
        <color indexed="63"/>
      </right>
      <top style="dashed">
        <color rgb="FFFF0000"/>
      </top>
      <bottom>
        <color indexed="63"/>
      </bottom>
    </border>
    <border>
      <left>
        <color indexed="63"/>
      </left>
      <right style="dashed">
        <color rgb="FFFF0000"/>
      </right>
      <top style="dashed">
        <color rgb="FFFF0000"/>
      </top>
      <bottom>
        <color indexed="63"/>
      </bottom>
    </border>
    <border>
      <left>
        <color indexed="63"/>
      </left>
      <right>
        <color indexed="63"/>
      </right>
      <top>
        <color indexed="63"/>
      </top>
      <bottom style="thick">
        <color theme="3"/>
      </bottom>
    </border>
    <border>
      <left>
        <color indexed="63"/>
      </left>
      <right style="thick">
        <color theme="3"/>
      </right>
      <top>
        <color indexed="63"/>
      </top>
      <bottom style="thick">
        <color theme="3"/>
      </bottom>
    </border>
    <border>
      <left style="medium"/>
      <right/>
      <top style="medium"/>
      <bottom/>
    </border>
    <border>
      <left style="medium"/>
      <right style="thin"/>
      <top style="medium"/>
      <bottom style="thin"/>
    </border>
    <border>
      <left style="medium"/>
      <right/>
      <top style="thin"/>
      <bottom style="thin"/>
    </border>
    <border>
      <left style="thin"/>
      <right/>
      <top style="thin"/>
      <bottom/>
    </border>
    <border>
      <left/>
      <right/>
      <top style="thin"/>
      <bottom/>
    </border>
    <border>
      <left/>
      <right style="medium"/>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4"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7" borderId="0" applyNumberFormat="0" applyBorder="0" applyAlignment="0" applyProtection="0"/>
    <xf numFmtId="0" fontId="138" fillId="4" borderId="0" applyNumberFormat="0" applyBorder="0" applyAlignment="0" applyProtection="0"/>
    <xf numFmtId="0" fontId="139" fillId="7"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0" borderId="0" applyNumberFormat="0" applyBorder="0" applyAlignment="0" applyProtection="0"/>
    <xf numFmtId="0" fontId="139" fillId="7" borderId="0" applyNumberFormat="0" applyBorder="0" applyAlignment="0" applyProtection="0"/>
    <xf numFmtId="0" fontId="139" fillId="3" borderId="0" applyNumberFormat="0" applyBorder="0" applyAlignment="0" applyProtection="0"/>
    <xf numFmtId="0" fontId="140" fillId="0" borderId="0" applyNumberForma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177" fontId="0" fillId="0" borderId="0" applyFont="0" applyFill="0" applyBorder="0" applyAlignment="0" applyProtection="0"/>
    <xf numFmtId="0" fontId="141" fillId="13" borderId="5" applyNumberFormat="0" applyAlignment="0" applyProtection="0"/>
    <xf numFmtId="0" fontId="142" fillId="9" borderId="6" applyNumberFormat="0" applyAlignment="0" applyProtection="0"/>
    <xf numFmtId="0" fontId="95" fillId="13" borderId="6" applyNumberFormat="0" applyAlignment="0" applyProtection="0"/>
    <xf numFmtId="0" fontId="143" fillId="14" borderId="7" applyNumberFormat="0" applyAlignment="0" applyProtection="0"/>
    <xf numFmtId="0" fontId="144" fillId="7" borderId="0" applyNumberFormat="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15"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37" fontId="4" fillId="0" borderId="0">
      <alignment/>
      <protection/>
    </xf>
    <xf numFmtId="0" fontId="0" fillId="16" borderId="8" applyNumberFormat="0" applyFont="0" applyAlignment="0" applyProtection="0"/>
    <xf numFmtId="0" fontId="101" fillId="17"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8" fillId="0" borderId="9" applyNumberFormat="0" applyFill="0" applyAlignment="0" applyProtection="0"/>
    <xf numFmtId="0" fontId="149" fillId="0" borderId="0" applyNumberFormat="0" applyFill="0" applyBorder="0" applyAlignment="0" applyProtection="0"/>
    <xf numFmtId="179" fontId="0" fillId="0" borderId="0" applyFont="0" applyFill="0" applyBorder="0" applyAlignment="0" applyProtection="0"/>
    <xf numFmtId="0" fontId="139" fillId="18"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9" borderId="0" applyNumberFormat="0" applyBorder="0" applyAlignment="0" applyProtection="0"/>
    <xf numFmtId="0" fontId="139" fillId="20" borderId="0" applyNumberFormat="0" applyBorder="0" applyAlignment="0" applyProtection="0"/>
    <xf numFmtId="0" fontId="13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587">
    <xf numFmtId="0" fontId="0" fillId="0" borderId="0" xfId="0" applyAlignment="1">
      <alignment/>
    </xf>
    <xf numFmtId="0" fontId="5" fillId="0" borderId="0" xfId="51" applyFont="1" applyFill="1" applyBorder="1" applyProtection="1">
      <alignment/>
      <protection/>
    </xf>
    <xf numFmtId="0" fontId="6" fillId="0" borderId="0" xfId="51" applyFont="1" applyFill="1" applyBorder="1" applyProtection="1">
      <alignment/>
      <protection/>
    </xf>
    <xf numFmtId="0" fontId="150" fillId="0" borderId="0" xfId="51" applyFont="1" applyFill="1" applyBorder="1" applyProtection="1">
      <alignment/>
      <protection/>
    </xf>
    <xf numFmtId="0" fontId="151" fillId="22" borderId="0" xfId="52" applyFont="1" applyFill="1" applyBorder="1" applyProtection="1">
      <alignment/>
      <protection/>
    </xf>
    <xf numFmtId="0" fontId="26" fillId="23" borderId="10" xfId="52" applyFont="1" applyFill="1" applyBorder="1" applyAlignment="1" applyProtection="1">
      <alignment horizontal="center" vertical="center"/>
      <protection/>
    </xf>
    <xf numFmtId="0" fontId="26" fillId="8" borderId="10" xfId="52" applyFont="1" applyFill="1" applyBorder="1" applyAlignment="1" applyProtection="1">
      <alignment horizontal="center" vertical="center"/>
      <protection/>
    </xf>
    <xf numFmtId="0" fontId="29" fillId="22" borderId="0" xfId="52" applyFont="1" applyFill="1" applyBorder="1" applyProtection="1">
      <alignment/>
      <protection/>
    </xf>
    <xf numFmtId="0" fontId="14" fillId="0" borderId="0" xfId="51" applyFont="1" applyFill="1" applyBorder="1" applyProtection="1">
      <alignment/>
      <protection/>
    </xf>
    <xf numFmtId="0" fontId="6" fillId="0" borderId="0" xfId="51" applyFont="1" applyFill="1" applyBorder="1" applyAlignment="1" applyProtection="1">
      <alignment horizontal="left"/>
      <protection/>
    </xf>
    <xf numFmtId="4" fontId="152" fillId="0" borderId="0" xfId="51" applyNumberFormat="1" applyFont="1" applyFill="1" applyBorder="1" applyAlignment="1" applyProtection="1">
      <alignment horizontal="right" vertical="center"/>
      <protection/>
    </xf>
    <xf numFmtId="4" fontId="16" fillId="0" borderId="0" xfId="51" applyNumberFormat="1" applyFont="1" applyFill="1" applyBorder="1" applyAlignment="1" applyProtection="1">
      <alignment horizontal="right" vertical="center"/>
      <protection/>
    </xf>
    <xf numFmtId="0" fontId="16" fillId="0" borderId="0" xfId="51" applyFont="1" applyFill="1" applyBorder="1" applyAlignment="1" applyProtection="1">
      <alignment vertical="center"/>
      <protection/>
    </xf>
    <xf numFmtId="0" fontId="6" fillId="0" borderId="0" xfId="51" applyFont="1" applyFill="1" applyBorder="1" applyProtection="1">
      <alignment/>
      <protection/>
    </xf>
    <xf numFmtId="4" fontId="6" fillId="0" borderId="0" xfId="51" applyNumberFormat="1" applyFont="1" applyFill="1" applyBorder="1" applyAlignment="1" applyProtection="1">
      <alignment horizontal="left"/>
      <protection/>
    </xf>
    <xf numFmtId="4" fontId="16" fillId="0" borderId="0" xfId="51" applyNumberFormat="1" applyFont="1" applyFill="1" applyBorder="1" applyAlignment="1" applyProtection="1">
      <alignment horizontal="center"/>
      <protection/>
    </xf>
    <xf numFmtId="0" fontId="9" fillId="0" borderId="0" xfId="51" applyFont="1" applyFill="1" applyBorder="1" applyAlignment="1" applyProtection="1">
      <alignment horizontal="center" vertical="center"/>
      <protection/>
    </xf>
    <xf numFmtId="4" fontId="16" fillId="0" borderId="0" xfId="51" applyNumberFormat="1" applyFont="1" applyFill="1" applyBorder="1" applyProtection="1">
      <alignment/>
      <protection/>
    </xf>
    <xf numFmtId="0" fontId="153" fillId="0" borderId="0" xfId="51" applyFont="1" applyFill="1" applyBorder="1" applyProtection="1">
      <alignment/>
      <protection/>
    </xf>
    <xf numFmtId="0" fontId="15" fillId="0" borderId="0" xfId="51" applyFont="1" applyFill="1" applyBorder="1" applyAlignment="1" applyProtection="1">
      <alignment horizontal="center" vertical="center"/>
      <protection/>
    </xf>
    <xf numFmtId="3" fontId="8" fillId="0" borderId="0" xfId="51" applyNumberFormat="1" applyFont="1" applyFill="1" applyBorder="1" applyAlignment="1" applyProtection="1">
      <alignment horizontal="right" vertical="center"/>
      <protection/>
    </xf>
    <xf numFmtId="4" fontId="8" fillId="0" borderId="0" xfId="51" applyNumberFormat="1" applyFont="1" applyFill="1" applyBorder="1" applyProtection="1">
      <alignment/>
      <protection/>
    </xf>
    <xf numFmtId="0" fontId="8" fillId="0" borderId="0" xfId="51" applyFont="1" applyFill="1" applyBorder="1" applyProtection="1">
      <alignment/>
      <protection/>
    </xf>
    <xf numFmtId="4" fontId="6" fillId="0" borderId="0" xfId="51" applyNumberFormat="1" applyFont="1" applyFill="1" applyBorder="1" applyProtection="1">
      <alignment/>
      <protection/>
    </xf>
    <xf numFmtId="4" fontId="8" fillId="0" borderId="0" xfId="51" applyNumberFormat="1" applyFont="1" applyFill="1" applyBorder="1" applyAlignment="1" applyProtection="1">
      <alignment horizontal="center" vertical="center"/>
      <protection/>
    </xf>
    <xf numFmtId="0" fontId="9" fillId="0" borderId="0" xfId="51" applyFont="1" applyFill="1" applyBorder="1" applyProtection="1">
      <alignment/>
      <protection/>
    </xf>
    <xf numFmtId="4" fontId="12" fillId="0" borderId="0" xfId="51" applyNumberFormat="1" applyFont="1" applyFill="1" applyBorder="1" applyAlignment="1" applyProtection="1">
      <alignment horizontal="right" vertical="center"/>
      <protection/>
    </xf>
    <xf numFmtId="4" fontId="8" fillId="0" borderId="0" xfId="51" applyNumberFormat="1" applyFont="1" applyFill="1" applyBorder="1" applyAlignment="1" applyProtection="1">
      <alignment horizontal="right" vertical="center"/>
      <protection/>
    </xf>
    <xf numFmtId="0" fontId="30" fillId="0" borderId="0" xfId="51" applyFont="1" applyFill="1" applyBorder="1" applyProtection="1">
      <alignment/>
      <protection/>
    </xf>
    <xf numFmtId="0" fontId="31" fillId="0" borderId="0" xfId="51" applyFont="1" applyFill="1" applyBorder="1" applyProtection="1">
      <alignment/>
      <protection/>
    </xf>
    <xf numFmtId="0" fontId="154" fillId="0" borderId="0" xfId="51" applyFont="1" applyFill="1" applyBorder="1" applyProtection="1">
      <alignment/>
      <protection/>
    </xf>
    <xf numFmtId="0" fontId="32" fillId="0" borderId="0" xfId="51" applyFont="1" applyFill="1" applyBorder="1" applyProtection="1">
      <alignment/>
      <protection/>
    </xf>
    <xf numFmtId="4" fontId="155" fillId="0" borderId="0" xfId="51" applyNumberFormat="1" applyFont="1" applyFill="1" applyBorder="1" applyAlignment="1" applyProtection="1">
      <alignment horizontal="center" vertical="center"/>
      <protection/>
    </xf>
    <xf numFmtId="0" fontId="31" fillId="0" borderId="0" xfId="51" applyFont="1" applyFill="1" applyBorder="1" applyAlignment="1" applyProtection="1">
      <alignment horizontal="center" vertical="center"/>
      <protection/>
    </xf>
    <xf numFmtId="0" fontId="31" fillId="0" borderId="11" xfId="51" applyFont="1" applyFill="1" applyBorder="1" applyProtection="1">
      <alignment/>
      <protection/>
    </xf>
    <xf numFmtId="200" fontId="155" fillId="0" borderId="12" xfId="51" applyNumberFormat="1" applyFont="1" applyFill="1" applyBorder="1" applyAlignment="1" applyProtection="1">
      <alignment horizontal="right" vertical="center"/>
      <protection/>
    </xf>
    <xf numFmtId="4" fontId="155" fillId="0" borderId="12" xfId="51" applyNumberFormat="1" applyFont="1" applyFill="1" applyBorder="1" applyAlignment="1" applyProtection="1">
      <alignment horizontal="right" vertical="center"/>
      <protection/>
    </xf>
    <xf numFmtId="0" fontId="31" fillId="0" borderId="13" xfId="51" applyFont="1" applyFill="1" applyBorder="1" applyProtection="1">
      <alignment/>
      <protection/>
    </xf>
    <xf numFmtId="0" fontId="27" fillId="0" borderId="0" xfId="49" applyFont="1" applyBorder="1" applyProtection="1">
      <alignment/>
      <protection/>
    </xf>
    <xf numFmtId="0" fontId="28" fillId="0" borderId="0" xfId="49" applyFont="1" applyBorder="1" applyProtection="1">
      <alignment/>
      <protection/>
    </xf>
    <xf numFmtId="0" fontId="28" fillId="0" borderId="12" xfId="49" applyFont="1" applyBorder="1" applyProtection="1">
      <alignment/>
      <protection/>
    </xf>
    <xf numFmtId="0" fontId="5" fillId="0" borderId="0" xfId="51" applyFont="1" applyFill="1" applyBorder="1" applyAlignment="1" applyProtection="1">
      <alignment horizontal="left" vertical="top" wrapText="1"/>
      <protection/>
    </xf>
    <xf numFmtId="0" fontId="0" fillId="0" borderId="0" xfId="51" applyFont="1" applyFill="1" applyProtection="1">
      <alignment/>
      <protection/>
    </xf>
    <xf numFmtId="0" fontId="33" fillId="0" borderId="0" xfId="51" applyFont="1" applyFill="1" applyProtection="1">
      <alignment/>
      <protection/>
    </xf>
    <xf numFmtId="0" fontId="11" fillId="0" borderId="0" xfId="51" applyFont="1" applyFill="1" applyProtection="1">
      <alignment/>
      <protection/>
    </xf>
    <xf numFmtId="0" fontId="37" fillId="0" borderId="0" xfId="51" applyFont="1" applyFill="1" applyProtection="1">
      <alignment/>
      <protection/>
    </xf>
    <xf numFmtId="0" fontId="37" fillId="0" borderId="14" xfId="51" applyFont="1" applyFill="1" applyBorder="1" applyProtection="1">
      <alignment/>
      <protection/>
    </xf>
    <xf numFmtId="0" fontId="37" fillId="0" borderId="0" xfId="51" applyFont="1" applyFill="1" applyBorder="1" applyProtection="1">
      <alignment/>
      <protection/>
    </xf>
    <xf numFmtId="4" fontId="33" fillId="0" borderId="15" xfId="51" applyNumberFormat="1" applyFont="1" applyFill="1" applyBorder="1" applyAlignment="1" applyProtection="1">
      <alignment horizontal="right" vertical="center"/>
      <protection/>
    </xf>
    <xf numFmtId="1" fontId="33" fillId="0" borderId="16" xfId="51" applyNumberFormat="1" applyFont="1" applyFill="1" applyBorder="1" applyAlignment="1" applyProtection="1">
      <alignment horizontal="center" vertical="center"/>
      <protection/>
    </xf>
    <xf numFmtId="0" fontId="33" fillId="0" borderId="16" xfId="51" applyFont="1" applyFill="1" applyBorder="1" applyAlignment="1" applyProtection="1">
      <alignment horizontal="right" vertical="center"/>
      <protection/>
    </xf>
    <xf numFmtId="0" fontId="37" fillId="0" borderId="17" xfId="51" applyFont="1" applyFill="1" applyBorder="1" applyProtection="1">
      <alignment/>
      <protection/>
    </xf>
    <xf numFmtId="0" fontId="33" fillId="0" borderId="0" xfId="49" applyFont="1" applyFill="1" applyProtection="1">
      <alignment/>
      <protection/>
    </xf>
    <xf numFmtId="0" fontId="27" fillId="0" borderId="0" xfId="49" applyFont="1" applyFill="1" applyProtection="1">
      <alignment/>
      <protection/>
    </xf>
    <xf numFmtId="0" fontId="28" fillId="0" borderId="0" xfId="49" applyFont="1" applyFill="1" applyProtection="1">
      <alignment/>
      <protection/>
    </xf>
    <xf numFmtId="0" fontId="33" fillId="0" borderId="18" xfId="51" applyFont="1" applyFill="1" applyBorder="1" applyAlignment="1" applyProtection="1">
      <alignment horizontal="right" vertical="center"/>
      <protection/>
    </xf>
    <xf numFmtId="0" fontId="11" fillId="0" borderId="0" xfId="51" applyFont="1" applyFill="1" applyBorder="1" applyProtection="1">
      <alignment/>
      <protection/>
    </xf>
    <xf numFmtId="0" fontId="37" fillId="0" borderId="19" xfId="51" applyFont="1" applyFill="1" applyBorder="1" applyProtection="1">
      <alignment/>
      <protection/>
    </xf>
    <xf numFmtId="0" fontId="37" fillId="0" borderId="0" xfId="51" applyFont="1" applyFill="1" applyBorder="1" applyAlignment="1" applyProtection="1">
      <alignment vertical="center"/>
      <protection/>
    </xf>
    <xf numFmtId="0" fontId="33" fillId="0" borderId="20" xfId="51" applyFont="1" applyFill="1" applyBorder="1" applyAlignment="1" applyProtection="1">
      <alignment horizontal="right" vertical="center"/>
      <protection/>
    </xf>
    <xf numFmtId="0" fontId="33" fillId="0" borderId="15" xfId="51" applyFont="1" applyFill="1" applyBorder="1" applyAlignment="1" applyProtection="1">
      <alignment horizontal="right" vertical="center"/>
      <protection/>
    </xf>
    <xf numFmtId="1" fontId="33" fillId="0" borderId="0" xfId="51" applyNumberFormat="1" applyFont="1" applyFill="1" applyBorder="1" applyAlignment="1" applyProtection="1">
      <alignment vertical="center"/>
      <protection/>
    </xf>
    <xf numFmtId="1" fontId="33" fillId="0" borderId="16" xfId="51" applyNumberFormat="1" applyFont="1" applyFill="1" applyBorder="1" applyAlignment="1" applyProtection="1">
      <alignment horizontal="right" vertical="center"/>
      <protection/>
    </xf>
    <xf numFmtId="1" fontId="33" fillId="0" borderId="20" xfId="51" applyNumberFormat="1" applyFont="1" applyFill="1" applyBorder="1" applyAlignment="1" applyProtection="1">
      <alignment horizontal="right" vertical="center"/>
      <protection/>
    </xf>
    <xf numFmtId="3" fontId="33" fillId="0" borderId="0" xfId="51" applyNumberFormat="1" applyFont="1" applyFill="1" applyBorder="1" applyAlignment="1" applyProtection="1">
      <alignment horizontal="left" vertical="center"/>
      <protection/>
    </xf>
    <xf numFmtId="1" fontId="33" fillId="0" borderId="16" xfId="51" applyNumberFormat="1" applyFont="1" applyFill="1" applyBorder="1" applyAlignment="1" applyProtection="1">
      <alignment vertical="center"/>
      <protection/>
    </xf>
    <xf numFmtId="1" fontId="33" fillId="0" borderId="20" xfId="51" applyNumberFormat="1" applyFont="1" applyFill="1" applyBorder="1" applyAlignment="1" applyProtection="1">
      <alignment vertical="center"/>
      <protection/>
    </xf>
    <xf numFmtId="3" fontId="37" fillId="0" borderId="0" xfId="51" applyNumberFormat="1" applyFont="1" applyFill="1" applyBorder="1" applyAlignment="1" applyProtection="1">
      <alignment horizontal="left" vertical="center"/>
      <protection/>
    </xf>
    <xf numFmtId="3" fontId="38" fillId="0" borderId="0" xfId="51" applyNumberFormat="1" applyFont="1" applyFill="1" applyBorder="1" applyAlignment="1" applyProtection="1">
      <alignment horizontal="justify" vertical="center"/>
      <protection/>
    </xf>
    <xf numFmtId="0" fontId="37" fillId="0" borderId="19" xfId="51" applyFont="1" applyFill="1" applyBorder="1" applyAlignment="1" applyProtection="1">
      <alignment vertical="center"/>
      <protection/>
    </xf>
    <xf numFmtId="4" fontId="38" fillId="0" borderId="0" xfId="51" applyNumberFormat="1" applyFont="1" applyFill="1" applyBorder="1" applyAlignment="1" applyProtection="1">
      <alignment vertical="center"/>
      <protection/>
    </xf>
    <xf numFmtId="0" fontId="37" fillId="0" borderId="17" xfId="51" applyFont="1" applyFill="1" applyBorder="1" applyAlignment="1" applyProtection="1">
      <alignment vertical="center"/>
      <protection/>
    </xf>
    <xf numFmtId="0" fontId="37" fillId="0" borderId="21" xfId="51" applyFont="1" applyFill="1" applyBorder="1" applyProtection="1">
      <alignment/>
      <protection/>
    </xf>
    <xf numFmtId="0" fontId="37" fillId="0" borderId="22" xfId="51" applyFont="1" applyFill="1" applyBorder="1" applyProtection="1">
      <alignment/>
      <protection/>
    </xf>
    <xf numFmtId="0" fontId="37" fillId="0" borderId="23" xfId="51" applyFont="1" applyFill="1" applyBorder="1" applyProtection="1">
      <alignment/>
      <protection/>
    </xf>
    <xf numFmtId="0" fontId="156" fillId="0" borderId="0" xfId="51" applyFont="1" applyFill="1" applyBorder="1" applyAlignment="1" applyProtection="1">
      <alignment vertical="center"/>
      <protection/>
    </xf>
    <xf numFmtId="0" fontId="33" fillId="0" borderId="19" xfId="51" applyFont="1" applyFill="1" applyBorder="1" applyProtection="1">
      <alignment/>
      <protection/>
    </xf>
    <xf numFmtId="0" fontId="33" fillId="0" borderId="0" xfId="51" applyFont="1" applyFill="1" applyBorder="1" applyProtection="1">
      <alignment/>
      <protection/>
    </xf>
    <xf numFmtId="0" fontId="33" fillId="0" borderId="0" xfId="51" applyFont="1" applyFill="1" applyBorder="1" applyAlignment="1" applyProtection="1">
      <alignment vertical="center"/>
      <protection/>
    </xf>
    <xf numFmtId="0" fontId="33" fillId="0" borderId="17" xfId="51" applyFont="1" applyFill="1" applyBorder="1" applyProtection="1">
      <alignment/>
      <protection/>
    </xf>
    <xf numFmtId="3" fontId="33" fillId="0" borderId="16" xfId="51" applyNumberFormat="1" applyFont="1" applyFill="1" applyBorder="1" applyAlignment="1" applyProtection="1">
      <alignment horizontal="center" vertical="center"/>
      <protection/>
    </xf>
    <xf numFmtId="4" fontId="33" fillId="0" borderId="16" xfId="51" applyNumberFormat="1" applyFont="1" applyFill="1" applyBorder="1" applyAlignment="1" applyProtection="1">
      <alignment horizontal="center" vertical="center"/>
      <protection/>
    </xf>
    <xf numFmtId="0" fontId="33" fillId="0" borderId="20" xfId="51" applyFont="1" applyFill="1" applyBorder="1" applyProtection="1">
      <alignment/>
      <protection/>
    </xf>
    <xf numFmtId="3" fontId="33" fillId="0" borderId="0" xfId="51" applyNumberFormat="1" applyFont="1" applyFill="1" applyBorder="1" applyAlignment="1" applyProtection="1">
      <alignment horizontal="right" vertical="center"/>
      <protection/>
    </xf>
    <xf numFmtId="0" fontId="33" fillId="0" borderId="0" xfId="51" applyFont="1" applyFill="1" applyBorder="1" applyAlignment="1" applyProtection="1">
      <alignment horizontal="right" vertical="center"/>
      <protection/>
    </xf>
    <xf numFmtId="0" fontId="34" fillId="0" borderId="0" xfId="51" applyFont="1" applyFill="1" applyBorder="1" applyAlignment="1" applyProtection="1">
      <alignment horizontal="center" vertical="center"/>
      <protection/>
    </xf>
    <xf numFmtId="200" fontId="33" fillId="0" borderId="0" xfId="51" applyNumberFormat="1" applyFont="1" applyFill="1" applyBorder="1" applyAlignment="1" applyProtection="1">
      <alignment vertical="center"/>
      <protection/>
    </xf>
    <xf numFmtId="0" fontId="33" fillId="0" borderId="17" xfId="51" applyFont="1" applyFill="1" applyBorder="1" applyAlignment="1" applyProtection="1">
      <alignment vertical="center"/>
      <protection/>
    </xf>
    <xf numFmtId="3" fontId="33" fillId="0" borderId="17" xfId="51" applyNumberFormat="1" applyFont="1" applyFill="1" applyBorder="1" applyAlignment="1" applyProtection="1">
      <alignment horizontal="right" vertical="center"/>
      <protection/>
    </xf>
    <xf numFmtId="3" fontId="33" fillId="0" borderId="24" xfId="51" applyNumberFormat="1" applyFont="1" applyFill="1" applyBorder="1" applyAlignment="1" applyProtection="1">
      <alignment horizontal="center" vertical="center"/>
      <protection/>
    </xf>
    <xf numFmtId="4" fontId="33" fillId="0" borderId="24" xfId="51" applyNumberFormat="1" applyFont="1" applyFill="1" applyBorder="1" applyAlignment="1" applyProtection="1">
      <alignment horizontal="center" vertical="center"/>
      <protection/>
    </xf>
    <xf numFmtId="0" fontId="33" fillId="0" borderId="21" xfId="51" applyFont="1" applyFill="1" applyBorder="1" applyProtection="1">
      <alignment/>
      <protection/>
    </xf>
    <xf numFmtId="0" fontId="33" fillId="0" borderId="22" xfId="51" applyFont="1" applyFill="1" applyBorder="1" applyProtection="1">
      <alignment/>
      <protection/>
    </xf>
    <xf numFmtId="0" fontId="34" fillId="0" borderId="22" xfId="51" applyFont="1" applyFill="1" applyBorder="1" applyAlignment="1" applyProtection="1">
      <alignment horizontal="right" vertical="center" wrapText="1"/>
      <protection/>
    </xf>
    <xf numFmtId="0" fontId="33" fillId="0" borderId="25" xfId="51" applyFont="1" applyFill="1" applyBorder="1" applyAlignment="1" applyProtection="1">
      <alignment horizontal="right" vertical="center"/>
      <protection/>
    </xf>
    <xf numFmtId="1" fontId="33" fillId="0" borderId="25" xfId="51" applyNumberFormat="1" applyFont="1" applyFill="1" applyBorder="1" applyAlignment="1" applyProtection="1">
      <alignment horizontal="right" vertical="center"/>
      <protection/>
    </xf>
    <xf numFmtId="0" fontId="33" fillId="0" borderId="26" xfId="51" applyFont="1" applyFill="1" applyBorder="1" applyProtection="1">
      <alignment/>
      <protection/>
    </xf>
    <xf numFmtId="0" fontId="39" fillId="0" borderId="0" xfId="51" applyFont="1" applyFill="1" applyBorder="1" applyAlignment="1" applyProtection="1">
      <alignment horizontal="right" vertical="center" wrapText="1"/>
      <protection/>
    </xf>
    <xf numFmtId="0" fontId="157" fillId="0" borderId="0" xfId="51" applyFont="1" applyFill="1" applyBorder="1" applyAlignment="1" applyProtection="1">
      <alignment horizontal="right" vertical="center"/>
      <protection/>
    </xf>
    <xf numFmtId="0" fontId="33" fillId="0" borderId="0" xfId="52" applyFont="1" applyFill="1" applyBorder="1" applyAlignment="1" applyProtection="1">
      <alignment vertical="center"/>
      <protection/>
    </xf>
    <xf numFmtId="0" fontId="33" fillId="0" borderId="17" xfId="52" applyFont="1" applyFill="1" applyBorder="1" applyProtection="1">
      <alignment/>
      <protection/>
    </xf>
    <xf numFmtId="0" fontId="33" fillId="0" borderId="19" xfId="52" applyFont="1" applyFill="1" applyBorder="1" applyProtection="1">
      <alignment/>
      <protection/>
    </xf>
    <xf numFmtId="0" fontId="33" fillId="0" borderId="0" xfId="52" applyFont="1" applyFill="1" applyBorder="1" applyProtection="1">
      <alignment/>
      <protection/>
    </xf>
    <xf numFmtId="3" fontId="33" fillId="0" borderId="16" xfId="52" applyNumberFormat="1" applyFont="1" applyFill="1" applyBorder="1" applyAlignment="1" applyProtection="1">
      <alignment horizontal="center" vertical="center"/>
      <protection/>
    </xf>
    <xf numFmtId="4" fontId="33" fillId="0" borderId="16" xfId="52" applyNumberFormat="1" applyFont="1" applyFill="1" applyBorder="1" applyAlignment="1" applyProtection="1">
      <alignment horizontal="center" vertical="center"/>
      <protection/>
    </xf>
    <xf numFmtId="1" fontId="33" fillId="0" borderId="16" xfId="52" applyNumberFormat="1" applyFont="1" applyFill="1" applyBorder="1" applyAlignment="1" applyProtection="1">
      <alignment horizontal="right" vertical="center"/>
      <protection/>
    </xf>
    <xf numFmtId="0" fontId="33" fillId="0" borderId="16" xfId="52" applyFont="1" applyFill="1" applyBorder="1" applyAlignment="1" applyProtection="1">
      <alignment horizontal="right" vertical="center"/>
      <protection/>
    </xf>
    <xf numFmtId="1" fontId="33" fillId="0" borderId="16" xfId="52" applyNumberFormat="1" applyFont="1" applyFill="1" applyBorder="1" applyAlignment="1" applyProtection="1">
      <alignment horizontal="center" vertical="center"/>
      <protection/>
    </xf>
    <xf numFmtId="3" fontId="33" fillId="0" borderId="0" xfId="52" applyNumberFormat="1" applyFont="1" applyFill="1" applyBorder="1" applyAlignment="1" applyProtection="1">
      <alignment horizontal="right" vertical="center"/>
      <protection/>
    </xf>
    <xf numFmtId="0" fontId="33" fillId="0" borderId="0" xfId="52" applyFont="1" applyFill="1" applyBorder="1" applyAlignment="1" applyProtection="1">
      <alignment horizontal="right" vertical="center"/>
      <protection/>
    </xf>
    <xf numFmtId="0" fontId="34" fillId="0" borderId="0" xfId="52" applyFont="1" applyFill="1" applyBorder="1" applyAlignment="1" applyProtection="1">
      <alignment horizontal="center" vertical="center"/>
      <protection/>
    </xf>
    <xf numFmtId="0" fontId="37" fillId="0" borderId="0" xfId="52" applyFont="1" applyFill="1" applyBorder="1" applyProtection="1">
      <alignment/>
      <protection/>
    </xf>
    <xf numFmtId="200" fontId="33" fillId="0" borderId="0" xfId="52" applyNumberFormat="1" applyFont="1" applyFill="1" applyBorder="1" applyAlignment="1" applyProtection="1">
      <alignment vertical="center"/>
      <protection/>
    </xf>
    <xf numFmtId="3" fontId="33" fillId="0" borderId="24" xfId="52" applyNumberFormat="1" applyFont="1" applyFill="1" applyBorder="1" applyAlignment="1" applyProtection="1">
      <alignment horizontal="center" vertical="center"/>
      <protection/>
    </xf>
    <xf numFmtId="4" fontId="33" fillId="0" borderId="24" xfId="52" applyNumberFormat="1" applyFont="1" applyFill="1" applyBorder="1" applyAlignment="1" applyProtection="1">
      <alignment horizontal="center" vertical="center"/>
      <protection/>
    </xf>
    <xf numFmtId="0" fontId="33" fillId="0" borderId="27" xfId="51" applyFont="1" applyFill="1" applyBorder="1" applyAlignment="1" applyProtection="1">
      <alignment horizontal="center" vertical="center"/>
      <protection/>
    </xf>
    <xf numFmtId="0" fontId="33" fillId="0" borderId="28" xfId="51" applyFont="1" applyFill="1" applyBorder="1" applyAlignment="1" applyProtection="1">
      <alignment horizontal="center" vertical="center"/>
      <protection/>
    </xf>
    <xf numFmtId="0" fontId="33" fillId="0" borderId="21" xfId="52" applyFont="1" applyFill="1" applyBorder="1" applyProtection="1">
      <alignment/>
      <protection/>
    </xf>
    <xf numFmtId="0" fontId="33" fillId="0" borderId="22" xfId="52" applyFont="1" applyFill="1" applyBorder="1" applyProtection="1">
      <alignment/>
      <protection/>
    </xf>
    <xf numFmtId="0" fontId="34" fillId="0" borderId="22" xfId="52" applyFont="1" applyFill="1" applyBorder="1" applyAlignment="1" applyProtection="1">
      <alignment horizontal="right" vertical="center" wrapText="1"/>
      <protection/>
    </xf>
    <xf numFmtId="0" fontId="33" fillId="0" borderId="25" xfId="52" applyFont="1" applyFill="1" applyBorder="1" applyAlignment="1" applyProtection="1">
      <alignment horizontal="right" vertical="center"/>
      <protection/>
    </xf>
    <xf numFmtId="1" fontId="33" fillId="0" borderId="25" xfId="52" applyNumberFormat="1" applyFont="1" applyFill="1" applyBorder="1" applyAlignment="1" applyProtection="1">
      <alignment horizontal="right" vertical="center"/>
      <protection/>
    </xf>
    <xf numFmtId="0" fontId="33" fillId="0" borderId="23" xfId="52" applyFont="1" applyFill="1" applyBorder="1" applyProtection="1">
      <alignment/>
      <protection/>
    </xf>
    <xf numFmtId="0" fontId="33" fillId="0" borderId="29" xfId="51" applyFont="1" applyFill="1" applyBorder="1" applyAlignment="1" applyProtection="1">
      <alignment horizontal="center" vertical="center"/>
      <protection/>
    </xf>
    <xf numFmtId="0" fontId="33" fillId="0" borderId="16" xfId="53" applyFont="1" applyFill="1" applyBorder="1" applyAlignment="1" applyProtection="1">
      <alignment horizontal="right" vertical="center"/>
      <protection/>
    </xf>
    <xf numFmtId="0" fontId="33" fillId="0" borderId="16" xfId="53" applyFont="1" applyFill="1" applyBorder="1" applyAlignment="1" applyProtection="1">
      <alignment horizontal="center" vertical="center"/>
      <protection/>
    </xf>
    <xf numFmtId="0" fontId="36" fillId="0" borderId="0" xfId="51" applyFont="1" applyFill="1" applyBorder="1" applyAlignment="1" applyProtection="1">
      <alignment horizontal="right" vertical="center"/>
      <protection/>
    </xf>
    <xf numFmtId="0" fontId="36" fillId="0" borderId="0" xfId="51" applyFont="1" applyFill="1" applyBorder="1" applyAlignment="1" applyProtection="1">
      <alignment vertical="center"/>
      <protection/>
    </xf>
    <xf numFmtId="0" fontId="33" fillId="0" borderId="30" xfId="54" applyFont="1" applyFill="1" applyBorder="1" applyAlignment="1" applyProtection="1">
      <alignment horizontal="center" vertical="center"/>
      <protection/>
    </xf>
    <xf numFmtId="0" fontId="33" fillId="0" borderId="16" xfId="54" applyFont="1" applyFill="1" applyBorder="1" applyAlignment="1" applyProtection="1">
      <alignment horizontal="center" vertical="center"/>
      <protection/>
    </xf>
    <xf numFmtId="4" fontId="33" fillId="0" borderId="27" xfId="54" applyNumberFormat="1" applyFont="1" applyFill="1" applyBorder="1" applyAlignment="1" applyProtection="1">
      <alignment horizontal="right" vertical="center"/>
      <protection/>
    </xf>
    <xf numFmtId="4" fontId="33" fillId="0" borderId="28" xfId="54" applyNumberFormat="1" applyFont="1" applyFill="1" applyBorder="1" applyAlignment="1" applyProtection="1">
      <alignment horizontal="right" vertical="center"/>
      <protection/>
    </xf>
    <xf numFmtId="1" fontId="7" fillId="0" borderId="0" xfId="51" applyNumberFormat="1" applyFont="1" applyFill="1" applyBorder="1" applyAlignment="1" applyProtection="1">
      <alignment horizontal="center" vertical="center"/>
      <protection/>
    </xf>
    <xf numFmtId="4" fontId="10" fillId="0" borderId="0" xfId="51" applyNumberFormat="1" applyFont="1" applyFill="1" applyBorder="1" applyAlignment="1" applyProtection="1">
      <alignment horizontal="right" vertical="center"/>
      <protection/>
    </xf>
    <xf numFmtId="4" fontId="33" fillId="0" borderId="29" xfId="54" applyNumberFormat="1" applyFont="1" applyFill="1" applyBorder="1" applyAlignment="1" applyProtection="1">
      <alignment horizontal="right" vertical="center"/>
      <protection/>
    </xf>
    <xf numFmtId="0" fontId="33" fillId="0" borderId="15" xfId="51" applyFont="1" applyFill="1" applyBorder="1" applyAlignment="1" applyProtection="1">
      <alignment vertical="center"/>
      <protection/>
    </xf>
    <xf numFmtId="0" fontId="33" fillId="0" borderId="16" xfId="51" applyFont="1" applyFill="1" applyBorder="1" applyAlignment="1" applyProtection="1">
      <alignment vertical="center"/>
      <protection/>
    </xf>
    <xf numFmtId="2" fontId="33" fillId="0" borderId="16" xfId="52" applyNumberFormat="1" applyFont="1" applyFill="1" applyBorder="1" applyAlignment="1" applyProtection="1">
      <alignment horizontal="right" vertical="center"/>
      <protection/>
    </xf>
    <xf numFmtId="1" fontId="33" fillId="0" borderId="0" xfId="52" applyNumberFormat="1" applyFont="1" applyFill="1" applyBorder="1" applyProtection="1">
      <alignment/>
      <protection/>
    </xf>
    <xf numFmtId="0" fontId="37" fillId="0" borderId="0" xfId="51" applyFont="1" applyFill="1" applyAlignment="1" applyProtection="1">
      <alignment horizontal="right"/>
      <protection/>
    </xf>
    <xf numFmtId="0" fontId="37" fillId="0" borderId="0" xfId="51" applyNumberFormat="1" applyFont="1" applyFill="1" applyAlignment="1" applyProtection="1">
      <alignment horizontal="right"/>
      <protection/>
    </xf>
    <xf numFmtId="0" fontId="33" fillId="0" borderId="16" xfId="52" applyNumberFormat="1" applyFont="1" applyFill="1" applyBorder="1" applyAlignment="1" applyProtection="1">
      <alignment horizontal="right" vertical="center"/>
      <protection/>
    </xf>
    <xf numFmtId="3" fontId="156" fillId="0" borderId="0" xfId="52" applyNumberFormat="1" applyFont="1" applyFill="1" applyBorder="1" applyAlignment="1" applyProtection="1">
      <alignment horizontal="right" vertical="center"/>
      <protection/>
    </xf>
    <xf numFmtId="3" fontId="5" fillId="0" borderId="0" xfId="51" applyNumberFormat="1" applyFont="1" applyFill="1" applyBorder="1" applyAlignment="1" applyProtection="1">
      <alignment vertical="center"/>
      <protection/>
    </xf>
    <xf numFmtId="0" fontId="33" fillId="0" borderId="0" xfId="52" applyFont="1" applyFill="1" applyBorder="1" applyAlignment="1" applyProtection="1">
      <alignment horizontal="center" vertical="center"/>
      <protection/>
    </xf>
    <xf numFmtId="3" fontId="150" fillId="0" borderId="0" xfId="51" applyNumberFormat="1" applyFont="1" applyFill="1" applyBorder="1" applyAlignment="1" applyProtection="1">
      <alignment vertical="center"/>
      <protection/>
    </xf>
    <xf numFmtId="0" fontId="33" fillId="0" borderId="0" xfId="51" applyFont="1" applyFill="1" applyAlignment="1" applyProtection="1">
      <alignment vertical="center"/>
      <protection/>
    </xf>
    <xf numFmtId="37" fontId="33" fillId="0" borderId="16" xfId="55" applyFont="1" applyFill="1" applyBorder="1" applyAlignment="1" applyProtection="1">
      <alignment vertical="center"/>
      <protection/>
    </xf>
    <xf numFmtId="37" fontId="33" fillId="0" borderId="16" xfId="55" applyFont="1" applyFill="1" applyBorder="1" applyAlignment="1" applyProtection="1">
      <alignment horizontal="center" vertical="center"/>
      <protection/>
    </xf>
    <xf numFmtId="37" fontId="33" fillId="0" borderId="27" xfId="55" applyFont="1" applyFill="1" applyBorder="1" applyAlignment="1" applyProtection="1">
      <alignment horizontal="center" vertical="center"/>
      <protection/>
    </xf>
    <xf numFmtId="37" fontId="33" fillId="0" borderId="28" xfId="55" applyFont="1" applyFill="1" applyBorder="1" applyAlignment="1" applyProtection="1">
      <alignment horizontal="center" vertical="center"/>
      <protection/>
    </xf>
    <xf numFmtId="37" fontId="33" fillId="0" borderId="29" xfId="55" applyFont="1" applyFill="1" applyBorder="1" applyAlignment="1" applyProtection="1">
      <alignment horizontal="center" vertical="center"/>
      <protection/>
    </xf>
    <xf numFmtId="1" fontId="33" fillId="0" borderId="16" xfId="55" applyNumberFormat="1" applyFont="1" applyFill="1" applyBorder="1" applyAlignment="1" applyProtection="1">
      <alignment horizontal="center" vertical="center"/>
      <protection/>
    </xf>
    <xf numFmtId="4" fontId="36" fillId="0" borderId="0" xfId="51" applyNumberFormat="1" applyFont="1" applyFill="1" applyBorder="1" applyAlignment="1" applyProtection="1">
      <alignment horizontal="right" vertical="center"/>
      <protection/>
    </xf>
    <xf numFmtId="0" fontId="37" fillId="0" borderId="0" xfId="51" applyFont="1" applyFill="1" applyAlignment="1" applyProtection="1">
      <alignment vertical="center"/>
      <protection/>
    </xf>
    <xf numFmtId="3" fontId="158" fillId="0" borderId="31" xfId="0" applyNumberFormat="1" applyFont="1" applyFill="1" applyBorder="1" applyAlignment="1" applyProtection="1">
      <alignment/>
      <protection/>
    </xf>
    <xf numFmtId="3" fontId="158" fillId="22" borderId="32" xfId="0" applyNumberFormat="1" applyFont="1" applyFill="1" applyBorder="1" applyAlignment="1" applyProtection="1">
      <alignment horizontal="right"/>
      <protection/>
    </xf>
    <xf numFmtId="3" fontId="158" fillId="22" borderId="33" xfId="0" applyNumberFormat="1" applyFont="1" applyFill="1" applyBorder="1" applyAlignment="1" applyProtection="1">
      <alignment horizontal="right"/>
      <protection/>
    </xf>
    <xf numFmtId="3" fontId="33" fillId="22" borderId="34" xfId="0" applyNumberFormat="1" applyFont="1" applyFill="1" applyBorder="1" applyAlignment="1" applyProtection="1">
      <alignment/>
      <protection/>
    </xf>
    <xf numFmtId="3" fontId="33" fillId="22" borderId="16" xfId="0" applyNumberFormat="1" applyFont="1" applyFill="1" applyBorder="1" applyAlignment="1" applyProtection="1">
      <alignment/>
      <protection/>
    </xf>
    <xf numFmtId="4" fontId="33" fillId="22" borderId="16" xfId="0" applyNumberFormat="1" applyFont="1" applyFill="1" applyBorder="1" applyAlignment="1" applyProtection="1">
      <alignment/>
      <protection/>
    </xf>
    <xf numFmtId="3" fontId="158" fillId="22" borderId="20" xfId="0" applyNumberFormat="1" applyFont="1" applyFill="1" applyBorder="1" applyAlignment="1" applyProtection="1">
      <alignment/>
      <protection/>
    </xf>
    <xf numFmtId="3" fontId="33" fillId="22" borderId="15" xfId="0" applyNumberFormat="1" applyFont="1" applyFill="1" applyBorder="1" applyAlignment="1" applyProtection="1">
      <alignment/>
      <protection/>
    </xf>
    <xf numFmtId="3" fontId="33" fillId="22" borderId="35" xfId="0" applyNumberFormat="1" applyFont="1" applyFill="1" applyBorder="1" applyAlignment="1" applyProtection="1">
      <alignment/>
      <protection/>
    </xf>
    <xf numFmtId="3" fontId="33" fillId="22" borderId="24" xfId="0" applyNumberFormat="1" applyFont="1" applyFill="1" applyBorder="1" applyAlignment="1" applyProtection="1">
      <alignment/>
      <protection/>
    </xf>
    <xf numFmtId="3" fontId="156" fillId="22" borderId="36" xfId="0" applyNumberFormat="1" applyFont="1" applyFill="1" applyBorder="1" applyAlignment="1" applyProtection="1">
      <alignment/>
      <protection/>
    </xf>
    <xf numFmtId="3" fontId="156" fillId="22" borderId="37" xfId="0" applyNumberFormat="1" applyFont="1" applyFill="1" applyBorder="1" applyAlignment="1" applyProtection="1">
      <alignment/>
      <protection/>
    </xf>
    <xf numFmtId="3" fontId="156" fillId="22" borderId="16" xfId="0" applyNumberFormat="1" applyFont="1" applyFill="1" applyBorder="1" applyAlignment="1" applyProtection="1">
      <alignment/>
      <protection/>
    </xf>
    <xf numFmtId="4" fontId="33" fillId="0" borderId="34" xfId="51" applyNumberFormat="1" applyFont="1" applyFill="1" applyBorder="1" applyAlignment="1" applyProtection="1">
      <alignment horizontal="right" vertical="center"/>
      <protection/>
    </xf>
    <xf numFmtId="1" fontId="33" fillId="0" borderId="38" xfId="51" applyNumberFormat="1" applyFont="1" applyFill="1" applyBorder="1" applyAlignment="1" applyProtection="1">
      <alignment horizontal="center" vertical="center"/>
      <protection/>
    </xf>
    <xf numFmtId="0" fontId="33" fillId="0" borderId="38" xfId="51" applyFont="1" applyFill="1" applyBorder="1" applyAlignment="1" applyProtection="1">
      <alignment horizontal="right" vertical="center"/>
      <protection/>
    </xf>
    <xf numFmtId="3" fontId="33" fillId="22" borderId="20" xfId="0" applyNumberFormat="1" applyFont="1" applyFill="1" applyBorder="1" applyAlignment="1" applyProtection="1">
      <alignment/>
      <protection/>
    </xf>
    <xf numFmtId="3" fontId="33" fillId="22" borderId="39" xfId="0" applyNumberFormat="1" applyFont="1" applyFill="1" applyBorder="1" applyAlignment="1" applyProtection="1">
      <alignment/>
      <protection/>
    </xf>
    <xf numFmtId="3" fontId="33" fillId="22" borderId="40" xfId="0" applyNumberFormat="1" applyFont="1" applyFill="1" applyBorder="1" applyAlignment="1" applyProtection="1">
      <alignment/>
      <protection/>
    </xf>
    <xf numFmtId="3" fontId="158" fillId="22" borderId="41" xfId="0" applyNumberFormat="1" applyFont="1" applyFill="1" applyBorder="1" applyAlignment="1" applyProtection="1">
      <alignment horizontal="right"/>
      <protection/>
    </xf>
    <xf numFmtId="1" fontId="159" fillId="22" borderId="42" xfId="51" applyNumberFormat="1" applyFont="1" applyFill="1" applyBorder="1" applyAlignment="1" applyProtection="1">
      <alignment horizontal="center" vertical="center"/>
      <protection/>
    </xf>
    <xf numFmtId="0" fontId="33" fillId="0" borderId="43" xfId="0" applyFont="1" applyFill="1" applyBorder="1" applyAlignment="1" applyProtection="1">
      <alignment/>
      <protection/>
    </xf>
    <xf numFmtId="0" fontId="33" fillId="0" borderId="41" xfId="0" applyFont="1" applyBorder="1" applyAlignment="1" applyProtection="1">
      <alignment/>
      <protection/>
    </xf>
    <xf numFmtId="0" fontId="33" fillId="0" borderId="33" xfId="0" applyFont="1" applyBorder="1" applyAlignment="1" applyProtection="1">
      <alignment/>
      <protection/>
    </xf>
    <xf numFmtId="0" fontId="33" fillId="0" borderId="33" xfId="0" applyFont="1" applyFill="1" applyBorder="1" applyAlignment="1" applyProtection="1">
      <alignment/>
      <protection/>
    </xf>
    <xf numFmtId="0" fontId="33" fillId="0" borderId="44" xfId="0" applyFont="1" applyBorder="1" applyAlignment="1" applyProtection="1">
      <alignment/>
      <protection/>
    </xf>
    <xf numFmtId="0" fontId="33" fillId="0" borderId="0" xfId="0" applyFont="1" applyBorder="1" applyAlignment="1" applyProtection="1">
      <alignment/>
      <protection/>
    </xf>
    <xf numFmtId="3" fontId="159" fillId="0" borderId="41" xfId="0" applyNumberFormat="1" applyFont="1" applyBorder="1" applyAlignment="1" applyProtection="1">
      <alignment/>
      <protection/>
    </xf>
    <xf numFmtId="0" fontId="33" fillId="0" borderId="22" xfId="0" applyFont="1" applyBorder="1" applyAlignment="1" applyProtection="1">
      <alignment/>
      <protection/>
    </xf>
    <xf numFmtId="0" fontId="33" fillId="0" borderId="23" xfId="0" applyFont="1" applyBorder="1" applyAlignment="1" applyProtection="1">
      <alignment/>
      <protection/>
    </xf>
    <xf numFmtId="0" fontId="33" fillId="0" borderId="19" xfId="0" applyFont="1" applyBorder="1" applyAlignment="1" applyProtection="1">
      <alignment/>
      <protection/>
    </xf>
    <xf numFmtId="0" fontId="159" fillId="0" borderId="41" xfId="0" applyFont="1" applyBorder="1" applyAlignment="1" applyProtection="1">
      <alignment/>
      <protection/>
    </xf>
    <xf numFmtId="3" fontId="2" fillId="24" borderId="45" xfId="52" applyNumberFormat="1" applyFont="1" applyFill="1" applyBorder="1" applyAlignment="1" applyProtection="1">
      <alignment horizontal="right" vertical="center"/>
      <protection/>
    </xf>
    <xf numFmtId="200" fontId="11" fillId="24" borderId="46" xfId="52" applyNumberFormat="1" applyFont="1" applyFill="1" applyBorder="1" applyAlignment="1" applyProtection="1">
      <alignment horizontal="right" vertical="center"/>
      <protection/>
    </xf>
    <xf numFmtId="3" fontId="160" fillId="25" borderId="47" xfId="52" applyNumberFormat="1" applyFont="1" applyFill="1" applyBorder="1" applyAlignment="1" applyProtection="1">
      <alignment horizontal="right" vertical="center"/>
      <protection/>
    </xf>
    <xf numFmtId="200" fontId="161" fillId="25" borderId="48" xfId="52" applyNumberFormat="1" applyFont="1" applyFill="1" applyBorder="1" applyAlignment="1" applyProtection="1">
      <alignment horizontal="right" vertical="center"/>
      <protection/>
    </xf>
    <xf numFmtId="3" fontId="162" fillId="26" borderId="49" xfId="52" applyNumberFormat="1" applyFont="1" applyFill="1" applyBorder="1" applyAlignment="1" applyProtection="1">
      <alignment horizontal="right" vertical="center"/>
      <protection/>
    </xf>
    <xf numFmtId="0" fontId="27" fillId="22" borderId="0" xfId="49" applyFont="1" applyFill="1" applyBorder="1" applyProtection="1">
      <alignment/>
      <protection/>
    </xf>
    <xf numFmtId="0" fontId="163" fillId="13" borderId="50" xfId="51" applyFont="1" applyFill="1" applyBorder="1" applyAlignment="1" applyProtection="1">
      <alignment horizontal="right" vertical="center"/>
      <protection/>
    </xf>
    <xf numFmtId="0" fontId="163" fillId="13" borderId="51" xfId="51" applyFont="1" applyFill="1" applyBorder="1" applyAlignment="1" applyProtection="1">
      <alignment horizontal="right" vertical="center"/>
      <protection/>
    </xf>
    <xf numFmtId="3" fontId="164" fillId="13" borderId="52" xfId="51" applyNumberFormat="1" applyFont="1" applyFill="1" applyBorder="1" applyAlignment="1" applyProtection="1">
      <alignment horizontal="right" vertical="center"/>
      <protection/>
    </xf>
    <xf numFmtId="3" fontId="164" fillId="13" borderId="53" xfId="51" applyNumberFormat="1" applyFont="1" applyFill="1" applyBorder="1" applyAlignment="1" applyProtection="1">
      <alignment horizontal="right" vertical="center"/>
      <protection/>
    </xf>
    <xf numFmtId="0" fontId="43" fillId="22" borderId="0" xfId="49" applyFont="1" applyFill="1" applyBorder="1" applyProtection="1">
      <alignment/>
      <protection/>
    </xf>
    <xf numFmtId="0" fontId="44" fillId="22" borderId="0" xfId="52" applyFont="1" applyFill="1" applyBorder="1" applyProtection="1">
      <alignment/>
      <protection/>
    </xf>
    <xf numFmtId="0" fontId="46" fillId="0" borderId="0" xfId="51" applyFont="1" applyFill="1" applyBorder="1" applyProtection="1">
      <alignment/>
      <protection/>
    </xf>
    <xf numFmtId="0" fontId="45" fillId="0" borderId="0" xfId="51" applyFont="1" applyFill="1" applyBorder="1" applyProtection="1">
      <alignment/>
      <protection/>
    </xf>
    <xf numFmtId="4" fontId="47" fillId="0" borderId="0" xfId="51" applyNumberFormat="1" applyFont="1" applyFill="1" applyBorder="1" applyAlignment="1" applyProtection="1">
      <alignment horizontal="right" vertical="center"/>
      <protection/>
    </xf>
    <xf numFmtId="0" fontId="165" fillId="27" borderId="54" xfId="52" applyFont="1" applyFill="1" applyBorder="1" applyAlignment="1" applyProtection="1">
      <alignment horizontal="right" vertical="center"/>
      <protection/>
    </xf>
    <xf numFmtId="0" fontId="165" fillId="28" borderId="55" xfId="52" applyFont="1" applyFill="1" applyBorder="1" applyAlignment="1" applyProtection="1">
      <alignment horizontal="right" vertical="center"/>
      <protection/>
    </xf>
    <xf numFmtId="0" fontId="165" fillId="27" borderId="56" xfId="52" applyFont="1" applyFill="1" applyBorder="1" applyAlignment="1" applyProtection="1">
      <alignment horizontal="right" vertical="center"/>
      <protection/>
    </xf>
    <xf numFmtId="0" fontId="45" fillId="0" borderId="0" xfId="51" applyFont="1" applyFill="1" applyBorder="1" applyAlignment="1" applyProtection="1">
      <alignment horizontal="center" vertical="center"/>
      <protection/>
    </xf>
    <xf numFmtId="4" fontId="48" fillId="0" borderId="0" xfId="51" applyNumberFormat="1" applyFont="1" applyFill="1" applyBorder="1" applyAlignment="1" applyProtection="1">
      <alignment horizontal="right" vertical="center"/>
      <protection/>
    </xf>
    <xf numFmtId="0" fontId="166" fillId="22" borderId="0" xfId="52" applyFont="1" applyFill="1" applyBorder="1" applyProtection="1">
      <alignment/>
      <protection/>
    </xf>
    <xf numFmtId="4" fontId="48" fillId="0" borderId="0" xfId="51" applyNumberFormat="1" applyFont="1" applyFill="1" applyBorder="1" applyAlignment="1" applyProtection="1">
      <alignment horizontal="center" vertical="center"/>
      <protection/>
    </xf>
    <xf numFmtId="3" fontId="167" fillId="0" borderId="0" xfId="51" applyNumberFormat="1" applyFont="1" applyFill="1" applyBorder="1" applyAlignment="1" applyProtection="1">
      <alignment vertical="center"/>
      <protection/>
    </xf>
    <xf numFmtId="0" fontId="49" fillId="0" borderId="0" xfId="51" applyFont="1" applyFill="1" applyBorder="1" applyProtection="1">
      <alignment/>
      <protection/>
    </xf>
    <xf numFmtId="0" fontId="165" fillId="29" borderId="57" xfId="52" applyFont="1" applyFill="1" applyBorder="1" applyAlignment="1" applyProtection="1">
      <alignment horizontal="right" vertical="center"/>
      <protection/>
    </xf>
    <xf numFmtId="3" fontId="33" fillId="0" borderId="30" xfId="52" applyNumberFormat="1" applyFont="1" applyFill="1" applyBorder="1" applyAlignment="1" applyProtection="1">
      <alignment horizontal="right" vertical="center"/>
      <protection/>
    </xf>
    <xf numFmtId="3" fontId="34" fillId="0" borderId="30" xfId="52" applyNumberFormat="1" applyFont="1" applyFill="1" applyBorder="1" applyAlignment="1" applyProtection="1">
      <alignment horizontal="right" vertical="center"/>
      <protection/>
    </xf>
    <xf numFmtId="1" fontId="33" fillId="22" borderId="30" xfId="51" applyNumberFormat="1" applyFont="1" applyFill="1" applyBorder="1" applyAlignment="1" applyProtection="1">
      <alignment horizontal="center" vertical="center"/>
      <protection/>
    </xf>
    <xf numFmtId="0" fontId="33" fillId="22" borderId="30" xfId="51" applyNumberFormat="1" applyFont="1" applyFill="1" applyBorder="1" applyAlignment="1" applyProtection="1">
      <alignment horizontal="center" vertical="center"/>
      <protection/>
    </xf>
    <xf numFmtId="3" fontId="33" fillId="22" borderId="30" xfId="51" applyNumberFormat="1" applyFont="1" applyFill="1" applyBorder="1" applyAlignment="1" applyProtection="1">
      <alignment horizontal="center" vertical="center"/>
      <protection/>
    </xf>
    <xf numFmtId="3" fontId="159" fillId="22" borderId="58" xfId="51" applyNumberFormat="1" applyFont="1" applyFill="1" applyBorder="1" applyAlignment="1" applyProtection="1">
      <alignment horizontal="center" vertical="center"/>
      <protection/>
    </xf>
    <xf numFmtId="0" fontId="33" fillId="0" borderId="43" xfId="52" applyFont="1" applyFill="1" applyBorder="1" applyAlignment="1" applyProtection="1">
      <alignment vertical="center"/>
      <protection/>
    </xf>
    <xf numFmtId="0" fontId="35" fillId="0" borderId="43" xfId="52" applyFont="1" applyFill="1" applyBorder="1" applyAlignment="1" applyProtection="1">
      <alignment horizontal="center"/>
      <protection/>
    </xf>
    <xf numFmtId="0" fontId="33" fillId="0" borderId="14" xfId="52" applyFont="1" applyFill="1" applyBorder="1" applyProtection="1">
      <alignment/>
      <protection/>
    </xf>
    <xf numFmtId="2" fontId="33" fillId="22" borderId="59" xfId="51" applyNumberFormat="1" applyFont="1" applyFill="1" applyBorder="1" applyAlignment="1" applyProtection="1">
      <alignment horizontal="right" vertical="center"/>
      <protection/>
    </xf>
    <xf numFmtId="0" fontId="163" fillId="0" borderId="60" xfId="51" applyFont="1" applyFill="1" applyBorder="1" applyAlignment="1" applyProtection="1">
      <alignment horizontal="center"/>
      <protection/>
    </xf>
    <xf numFmtId="0" fontId="163" fillId="0" borderId="61" xfId="51" applyFont="1" applyFill="1" applyBorder="1" applyAlignment="1" applyProtection="1">
      <alignment horizontal="center"/>
      <protection/>
    </xf>
    <xf numFmtId="0" fontId="163" fillId="0" borderId="62" xfId="51" applyFont="1" applyFill="1" applyBorder="1" applyAlignment="1" applyProtection="1">
      <alignment horizontal="center"/>
      <protection/>
    </xf>
    <xf numFmtId="0" fontId="46" fillId="0" borderId="0" xfId="51" applyFont="1" applyFill="1" applyBorder="1" applyAlignment="1" applyProtection="1">
      <alignment horizontal="center"/>
      <protection/>
    </xf>
    <xf numFmtId="200" fontId="168" fillId="26" borderId="63" xfId="52" applyNumberFormat="1" applyFont="1" applyFill="1" applyBorder="1" applyAlignment="1" applyProtection="1">
      <alignment horizontal="center" vertical="center"/>
      <protection/>
    </xf>
    <xf numFmtId="4" fontId="156" fillId="0" borderId="28" xfId="54" applyNumberFormat="1" applyFont="1" applyFill="1" applyBorder="1" applyAlignment="1" applyProtection="1">
      <alignment horizontal="right" vertical="center"/>
      <protection/>
    </xf>
    <xf numFmtId="4" fontId="169" fillId="0" borderId="0" xfId="52" applyNumberFormat="1" applyFont="1" applyFill="1" applyBorder="1" applyAlignment="1" applyProtection="1">
      <alignment horizontal="right" vertical="center"/>
      <protection/>
    </xf>
    <xf numFmtId="3" fontId="164" fillId="30" borderId="52" xfId="51" applyNumberFormat="1" applyFont="1" applyFill="1" applyBorder="1" applyAlignment="1" applyProtection="1">
      <alignment horizontal="right" vertical="center"/>
      <protection/>
    </xf>
    <xf numFmtId="0" fontId="163" fillId="30" borderId="61" xfId="51" applyFont="1" applyFill="1" applyBorder="1" applyAlignment="1" applyProtection="1">
      <alignment horizontal="center"/>
      <protection/>
    </xf>
    <xf numFmtId="0" fontId="163" fillId="30" borderId="50" xfId="51" applyFont="1" applyFill="1" applyBorder="1" applyAlignment="1" applyProtection="1">
      <alignment horizontal="right" vertical="center"/>
      <protection/>
    </xf>
    <xf numFmtId="1" fontId="170" fillId="0" borderId="16" xfId="51" applyNumberFormat="1" applyFont="1" applyFill="1" applyBorder="1" applyAlignment="1" applyProtection="1">
      <alignment horizontal="right" vertical="center"/>
      <protection/>
    </xf>
    <xf numFmtId="1" fontId="171" fillId="0" borderId="16" xfId="51" applyNumberFormat="1" applyFont="1" applyFill="1" applyBorder="1" applyAlignment="1" applyProtection="1">
      <alignment horizontal="right" vertical="center"/>
      <protection/>
    </xf>
    <xf numFmtId="0" fontId="171" fillId="0" borderId="15" xfId="51" applyFont="1" applyFill="1" applyBorder="1" applyAlignment="1" applyProtection="1">
      <alignment horizontal="right" vertical="center"/>
      <protection/>
    </xf>
    <xf numFmtId="0" fontId="171" fillId="0" borderId="16" xfId="51" applyFont="1" applyFill="1" applyBorder="1" applyAlignment="1" applyProtection="1">
      <alignment horizontal="right" vertical="center"/>
      <protection/>
    </xf>
    <xf numFmtId="1" fontId="171" fillId="0" borderId="20" xfId="51" applyNumberFormat="1" applyFont="1" applyFill="1" applyBorder="1" applyAlignment="1" applyProtection="1">
      <alignment horizontal="right" vertical="center"/>
      <protection/>
    </xf>
    <xf numFmtId="0" fontId="172" fillId="0" borderId="15" xfId="51" applyFont="1" applyFill="1" applyBorder="1" applyAlignment="1" applyProtection="1">
      <alignment horizontal="right" vertical="center"/>
      <protection/>
    </xf>
    <xf numFmtId="1" fontId="172" fillId="0" borderId="16" xfId="51" applyNumberFormat="1" applyFont="1" applyFill="1" applyBorder="1" applyAlignment="1" applyProtection="1">
      <alignment horizontal="right" vertical="center"/>
      <protection/>
    </xf>
    <xf numFmtId="0" fontId="172" fillId="0" borderId="16" xfId="51" applyFont="1" applyFill="1" applyBorder="1" applyAlignment="1" applyProtection="1">
      <alignment horizontal="right" vertical="center"/>
      <protection/>
    </xf>
    <xf numFmtId="1" fontId="172" fillId="0" borderId="20" xfId="51" applyNumberFormat="1" applyFont="1" applyFill="1" applyBorder="1" applyAlignment="1" applyProtection="1">
      <alignment horizontal="right" vertical="center"/>
      <protection/>
    </xf>
    <xf numFmtId="0" fontId="170" fillId="0" borderId="15" xfId="51" applyFont="1" applyFill="1" applyBorder="1" applyAlignment="1" applyProtection="1">
      <alignment horizontal="right" vertical="center"/>
      <protection/>
    </xf>
    <xf numFmtId="0" fontId="170" fillId="0" borderId="16" xfId="51" applyFont="1" applyFill="1" applyBorder="1" applyAlignment="1" applyProtection="1">
      <alignment horizontal="right" vertical="center"/>
      <protection/>
    </xf>
    <xf numFmtId="1" fontId="170" fillId="0" borderId="20" xfId="51" applyNumberFormat="1" applyFont="1" applyFill="1" applyBorder="1" applyAlignment="1" applyProtection="1">
      <alignment horizontal="right" vertical="center"/>
      <protection/>
    </xf>
    <xf numFmtId="1" fontId="173" fillId="0" borderId="15" xfId="51" applyNumberFormat="1" applyFont="1" applyFill="1" applyBorder="1" applyAlignment="1" applyProtection="1">
      <alignment horizontal="right" vertical="center"/>
      <protection/>
    </xf>
    <xf numFmtId="3" fontId="173" fillId="0" borderId="16" xfId="51" applyNumberFormat="1" applyFont="1" applyFill="1" applyBorder="1" applyAlignment="1" applyProtection="1">
      <alignment horizontal="right" vertical="center"/>
      <protection/>
    </xf>
    <xf numFmtId="1" fontId="33" fillId="6" borderId="16" xfId="51" applyNumberFormat="1" applyFont="1" applyFill="1" applyBorder="1" applyAlignment="1" applyProtection="1">
      <alignment horizontal="right" vertical="center"/>
      <protection/>
    </xf>
    <xf numFmtId="1" fontId="33" fillId="6" borderId="20" xfId="51" applyNumberFormat="1" applyFont="1" applyFill="1" applyBorder="1" applyAlignment="1" applyProtection="1">
      <alignment horizontal="right" vertical="center"/>
      <protection/>
    </xf>
    <xf numFmtId="1" fontId="33" fillId="31" borderId="16" xfId="51" applyNumberFormat="1" applyFont="1" applyFill="1" applyBorder="1" applyAlignment="1" applyProtection="1">
      <alignment vertical="center"/>
      <protection/>
    </xf>
    <xf numFmtId="1" fontId="33" fillId="31" borderId="20" xfId="51" applyNumberFormat="1" applyFont="1" applyFill="1" applyBorder="1" applyAlignment="1" applyProtection="1">
      <alignment vertical="center"/>
      <protection/>
    </xf>
    <xf numFmtId="0" fontId="37" fillId="0" borderId="42" xfId="51" applyFont="1" applyFill="1" applyBorder="1" applyProtection="1">
      <alignment/>
      <protection/>
    </xf>
    <xf numFmtId="0" fontId="37" fillId="0" borderId="64" xfId="51" applyFont="1" applyFill="1" applyBorder="1" applyProtection="1">
      <alignment/>
      <protection/>
    </xf>
    <xf numFmtId="0" fontId="37" fillId="0" borderId="37" xfId="51" applyFont="1" applyFill="1" applyBorder="1" applyProtection="1">
      <alignment/>
      <protection/>
    </xf>
    <xf numFmtId="1" fontId="33" fillId="22" borderId="27" xfId="55" applyNumberFormat="1" applyFont="1" applyFill="1" applyBorder="1" applyAlignment="1" applyProtection="1">
      <alignment horizontal="right" vertical="center"/>
      <protection/>
    </xf>
    <xf numFmtId="1" fontId="33" fillId="22" borderId="28" xfId="55" applyNumberFormat="1" applyFont="1" applyFill="1" applyBorder="1" applyAlignment="1" applyProtection="1">
      <alignment horizontal="right" vertical="center"/>
      <protection/>
    </xf>
    <xf numFmtId="1" fontId="33" fillId="22" borderId="29" xfId="55" applyNumberFormat="1" applyFont="1" applyFill="1" applyBorder="1" applyAlignment="1" applyProtection="1">
      <alignment horizontal="right" vertical="center"/>
      <protection/>
    </xf>
    <xf numFmtId="1" fontId="159" fillId="32" borderId="16" xfId="55" applyNumberFormat="1" applyFont="1" applyFill="1" applyBorder="1" applyAlignment="1" applyProtection="1">
      <alignment horizontal="center" vertical="center"/>
      <protection locked="0"/>
    </xf>
    <xf numFmtId="194" fontId="33" fillId="0" borderId="38" xfId="51" applyNumberFormat="1" applyFont="1" applyFill="1" applyBorder="1" applyAlignment="1" applyProtection="1">
      <alignment horizontal="center" vertical="center"/>
      <protection/>
    </xf>
    <xf numFmtId="0" fontId="174" fillId="0" borderId="0" xfId="51" applyFont="1" applyFill="1" applyBorder="1" applyAlignment="1" applyProtection="1">
      <alignment horizontal="center" vertical="center"/>
      <protection/>
    </xf>
    <xf numFmtId="0" fontId="175" fillId="33" borderId="41" xfId="51" applyFont="1" applyFill="1" applyBorder="1" applyAlignment="1" applyProtection="1">
      <alignment horizontal="center" vertical="center"/>
      <protection/>
    </xf>
    <xf numFmtId="0" fontId="176" fillId="33" borderId="41" xfId="51" applyFont="1" applyFill="1" applyBorder="1" applyAlignment="1" applyProtection="1">
      <alignment horizontal="center" vertical="center"/>
      <protection/>
    </xf>
    <xf numFmtId="1" fontId="159" fillId="32" borderId="16" xfId="51" applyNumberFormat="1" applyFont="1" applyFill="1" applyBorder="1" applyAlignment="1" applyProtection="1">
      <alignment horizontal="center" vertical="center"/>
      <protection locked="0"/>
    </xf>
    <xf numFmtId="3" fontId="159" fillId="32" borderId="16" xfId="51" applyNumberFormat="1" applyFont="1" applyFill="1" applyBorder="1" applyAlignment="1" applyProtection="1">
      <alignment horizontal="center" vertical="center"/>
      <protection locked="0"/>
    </xf>
    <xf numFmtId="0" fontId="53" fillId="0" borderId="0" xfId="51" applyFont="1" applyFill="1" applyBorder="1" applyProtection="1">
      <alignment/>
      <protection/>
    </xf>
    <xf numFmtId="3" fontId="53" fillId="0" borderId="0" xfId="51" applyNumberFormat="1" applyFont="1" applyFill="1" applyBorder="1" applyAlignment="1" applyProtection="1">
      <alignment vertical="center"/>
      <protection/>
    </xf>
    <xf numFmtId="0" fontId="54" fillId="0" borderId="0" xfId="51" applyFont="1" applyFill="1" applyBorder="1" applyProtection="1">
      <alignment/>
      <protection/>
    </xf>
    <xf numFmtId="4" fontId="52" fillId="20" borderId="65" xfId="52" applyNumberFormat="1" applyFont="1" applyFill="1" applyBorder="1" applyAlignment="1" applyProtection="1">
      <alignment horizontal="right" vertical="center"/>
      <protection/>
    </xf>
    <xf numFmtId="0" fontId="177" fillId="34" borderId="0" xfId="49" applyFont="1" applyFill="1" applyBorder="1" applyAlignment="1" applyProtection="1">
      <alignment horizontal="left" vertical="center" wrapText="1"/>
      <protection/>
    </xf>
    <xf numFmtId="4" fontId="178" fillId="0" borderId="66" xfId="52" applyNumberFormat="1" applyFont="1" applyFill="1" applyBorder="1" applyAlignment="1" applyProtection="1">
      <alignment horizontal="right" vertical="center"/>
      <protection/>
    </xf>
    <xf numFmtId="0" fontId="45" fillId="0" borderId="0" xfId="51" applyFont="1" applyFill="1" applyBorder="1" applyAlignment="1" applyProtection="1">
      <alignment vertical="center"/>
      <protection/>
    </xf>
    <xf numFmtId="0" fontId="56" fillId="0" borderId="0" xfId="51" applyFont="1" applyFill="1" applyBorder="1" applyProtection="1">
      <alignment/>
      <protection/>
    </xf>
    <xf numFmtId="0" fontId="166" fillId="22" borderId="0" xfId="52" applyFont="1" applyFill="1" applyBorder="1" applyAlignment="1" applyProtection="1">
      <alignment horizontal="left"/>
      <protection/>
    </xf>
    <xf numFmtId="0" fontId="45" fillId="0" borderId="0" xfId="51" applyFont="1" applyFill="1" applyBorder="1" applyAlignment="1" applyProtection="1">
      <alignment horizontal="left" vertical="top" wrapText="1"/>
      <protection/>
    </xf>
    <xf numFmtId="0" fontId="167" fillId="0" borderId="0" xfId="51" applyFont="1" applyFill="1" applyBorder="1" applyProtection="1">
      <alignment/>
      <protection/>
    </xf>
    <xf numFmtId="0" fontId="48" fillId="0" borderId="0" xfId="51" applyFont="1" applyFill="1" applyBorder="1" applyAlignment="1" applyProtection="1">
      <alignment horizontal="left"/>
      <protection/>
    </xf>
    <xf numFmtId="0" fontId="62" fillId="22" borderId="0" xfId="52" applyFont="1" applyFill="1" applyBorder="1" applyAlignment="1" applyProtection="1">
      <alignment horizontal="right"/>
      <protection/>
    </xf>
    <xf numFmtId="4" fontId="179" fillId="0" borderId="0" xfId="51" applyNumberFormat="1" applyFont="1" applyFill="1" applyBorder="1" applyAlignment="1" applyProtection="1">
      <alignment horizontal="right" vertical="center"/>
      <protection/>
    </xf>
    <xf numFmtId="4" fontId="47" fillId="0" borderId="0" xfId="51" applyNumberFormat="1" applyFont="1" applyFill="1" applyBorder="1" applyProtection="1">
      <alignment/>
      <protection/>
    </xf>
    <xf numFmtId="4" fontId="46" fillId="0" borderId="0" xfId="51" applyNumberFormat="1" applyFont="1" applyFill="1" applyBorder="1" applyAlignment="1" applyProtection="1">
      <alignment horizontal="left"/>
      <protection/>
    </xf>
    <xf numFmtId="0" fontId="46" fillId="0" borderId="0" xfId="51" applyFont="1" applyFill="1" applyBorder="1" applyAlignment="1" applyProtection="1">
      <alignment horizontal="left"/>
      <protection/>
    </xf>
    <xf numFmtId="0" fontId="63" fillId="0" borderId="0" xfId="51" applyFont="1" applyFill="1" applyBorder="1" applyProtection="1">
      <alignment/>
      <protection/>
    </xf>
    <xf numFmtId="0" fontId="53" fillId="0" borderId="0" xfId="51" applyFont="1" applyFill="1" applyBorder="1" applyAlignment="1" applyProtection="1">
      <alignment horizontal="left" vertical="top" wrapText="1"/>
      <protection/>
    </xf>
    <xf numFmtId="0" fontId="180" fillId="0" borderId="0" xfId="51" applyFont="1" applyFill="1" applyBorder="1" applyProtection="1">
      <alignment/>
      <protection/>
    </xf>
    <xf numFmtId="4" fontId="181" fillId="0" borderId="0" xfId="51" applyNumberFormat="1" applyFont="1" applyFill="1" applyBorder="1" applyAlignment="1" applyProtection="1">
      <alignment horizontal="right" vertical="center"/>
      <protection/>
    </xf>
    <xf numFmtId="4" fontId="64" fillId="0" borderId="0" xfId="51" applyNumberFormat="1" applyFont="1" applyFill="1" applyBorder="1" applyAlignment="1" applyProtection="1">
      <alignment horizontal="right" vertical="center"/>
      <protection/>
    </xf>
    <xf numFmtId="0" fontId="54" fillId="0" borderId="0" xfId="51" applyFont="1" applyFill="1" applyBorder="1" applyAlignment="1" applyProtection="1">
      <alignment horizontal="left"/>
      <protection/>
    </xf>
    <xf numFmtId="4" fontId="54" fillId="0" borderId="0" xfId="51" applyNumberFormat="1" applyFont="1" applyFill="1" applyBorder="1" applyAlignment="1" applyProtection="1">
      <alignment horizontal="left"/>
      <protection/>
    </xf>
    <xf numFmtId="0" fontId="182" fillId="0" borderId="0" xfId="51" applyFont="1" applyFill="1" applyBorder="1" applyProtection="1">
      <alignment/>
      <protection/>
    </xf>
    <xf numFmtId="0" fontId="65" fillId="22" borderId="0" xfId="49" applyFont="1" applyFill="1" applyBorder="1" applyProtection="1">
      <alignment/>
      <protection/>
    </xf>
    <xf numFmtId="0" fontId="9" fillId="0" borderId="0" xfId="51" applyFont="1" applyFill="1" applyBorder="1" applyAlignment="1" applyProtection="1">
      <alignment horizontal="left" vertical="top" wrapText="1"/>
      <protection/>
    </xf>
    <xf numFmtId="0" fontId="66" fillId="0" borderId="0" xfId="51" applyFont="1" applyFill="1" applyBorder="1" applyProtection="1">
      <alignment/>
      <protection/>
    </xf>
    <xf numFmtId="4" fontId="66" fillId="0" borderId="0" xfId="51" applyNumberFormat="1" applyFont="1" applyFill="1" applyBorder="1" applyAlignment="1" applyProtection="1">
      <alignment horizontal="left"/>
      <protection/>
    </xf>
    <xf numFmtId="0" fontId="66" fillId="0" borderId="0" xfId="51" applyFont="1" applyFill="1" applyBorder="1" applyAlignment="1" applyProtection="1">
      <alignment horizontal="left"/>
      <protection/>
    </xf>
    <xf numFmtId="4" fontId="9" fillId="0" borderId="0" xfId="51" applyNumberFormat="1" applyFont="1" applyFill="1" applyBorder="1" applyAlignment="1" applyProtection="1">
      <alignment horizontal="left" vertical="center"/>
      <protection/>
    </xf>
    <xf numFmtId="0" fontId="68" fillId="0" borderId="0" xfId="51" applyFont="1" applyFill="1" applyBorder="1" applyProtection="1">
      <alignment/>
      <protection/>
    </xf>
    <xf numFmtId="0" fontId="69" fillId="22" borderId="0" xfId="49" applyFont="1" applyFill="1" applyBorder="1" applyProtection="1">
      <alignment/>
      <protection/>
    </xf>
    <xf numFmtId="0" fontId="183" fillId="22" borderId="0" xfId="52" applyFont="1" applyFill="1" applyBorder="1" applyProtection="1">
      <alignment/>
      <protection/>
    </xf>
    <xf numFmtId="4" fontId="70" fillId="0" borderId="0" xfId="51" applyNumberFormat="1" applyFont="1" applyFill="1" applyBorder="1" applyAlignment="1" applyProtection="1">
      <alignment horizontal="center" vertical="center"/>
      <protection/>
    </xf>
    <xf numFmtId="3" fontId="184" fillId="0" borderId="0" xfId="51" applyNumberFormat="1" applyFont="1" applyFill="1" applyBorder="1" applyAlignment="1" applyProtection="1">
      <alignment vertical="center"/>
      <protection/>
    </xf>
    <xf numFmtId="0" fontId="185" fillId="0" borderId="0" xfId="51" applyFont="1" applyFill="1" applyBorder="1" applyProtection="1">
      <alignment/>
      <protection/>
    </xf>
    <xf numFmtId="0" fontId="53" fillId="0" borderId="0" xfId="51" applyFont="1" applyFill="1" applyBorder="1" applyAlignment="1" applyProtection="1">
      <alignment horizontal="center" vertical="center"/>
      <protection/>
    </xf>
    <xf numFmtId="0" fontId="71" fillId="22" borderId="0" xfId="49" applyFont="1" applyFill="1" applyBorder="1" applyProtection="1">
      <alignment/>
      <protection/>
    </xf>
    <xf numFmtId="4" fontId="72" fillId="0" borderId="0" xfId="51" applyNumberFormat="1" applyFont="1" applyFill="1" applyBorder="1" applyProtection="1">
      <alignment/>
      <protection/>
    </xf>
    <xf numFmtId="0" fontId="72" fillId="0" borderId="0" xfId="51" applyFont="1" applyFill="1" applyBorder="1" applyProtection="1">
      <alignment/>
      <protection/>
    </xf>
    <xf numFmtId="0" fontId="53" fillId="0" borderId="67" xfId="51" applyFont="1" applyFill="1" applyBorder="1" applyProtection="1">
      <alignment/>
      <protection/>
    </xf>
    <xf numFmtId="0" fontId="53" fillId="0" borderId="68" xfId="51" applyFont="1" applyFill="1" applyBorder="1" applyProtection="1">
      <alignment/>
      <protection/>
    </xf>
    <xf numFmtId="0" fontId="53" fillId="0" borderId="69" xfId="51" applyFont="1" applyFill="1" applyBorder="1" applyProtection="1">
      <alignment/>
      <protection/>
    </xf>
    <xf numFmtId="0" fontId="9" fillId="0" borderId="70" xfId="51" applyFont="1" applyFill="1" applyBorder="1" applyProtection="1">
      <alignment/>
      <protection/>
    </xf>
    <xf numFmtId="0" fontId="9" fillId="0" borderId="71" xfId="51" applyFont="1" applyFill="1" applyBorder="1" applyProtection="1">
      <alignment/>
      <protection/>
    </xf>
    <xf numFmtId="0" fontId="9" fillId="0" borderId="72" xfId="51" applyFont="1" applyFill="1" applyBorder="1" applyProtection="1">
      <alignment/>
      <protection/>
    </xf>
    <xf numFmtId="0" fontId="185" fillId="0" borderId="67" xfId="51" applyFont="1" applyFill="1" applyBorder="1" applyProtection="1">
      <alignment/>
      <protection/>
    </xf>
    <xf numFmtId="0" fontId="185" fillId="0" borderId="68" xfId="51" applyFont="1" applyFill="1" applyBorder="1" applyProtection="1">
      <alignment/>
      <protection/>
    </xf>
    <xf numFmtId="0" fontId="185" fillId="0" borderId="69" xfId="51" applyFont="1" applyFill="1" applyBorder="1" applyProtection="1">
      <alignment/>
      <protection/>
    </xf>
    <xf numFmtId="0" fontId="5" fillId="0" borderId="70" xfId="51" applyFont="1" applyFill="1" applyBorder="1" applyProtection="1">
      <alignment/>
      <protection/>
    </xf>
    <xf numFmtId="0" fontId="5" fillId="0" borderId="71" xfId="51" applyFont="1" applyFill="1" applyBorder="1" applyProtection="1">
      <alignment/>
      <protection/>
    </xf>
    <xf numFmtId="0" fontId="5" fillId="0" borderId="72" xfId="51" applyFont="1" applyFill="1" applyBorder="1" applyProtection="1">
      <alignment/>
      <protection/>
    </xf>
    <xf numFmtId="4" fontId="186" fillId="22" borderId="73" xfId="52" applyNumberFormat="1" applyFont="1" applyFill="1" applyBorder="1" applyAlignment="1" applyProtection="1">
      <alignment horizontal="right" vertical="center"/>
      <protection/>
    </xf>
    <xf numFmtId="4" fontId="186" fillId="22" borderId="74" xfId="52" applyNumberFormat="1" applyFont="1" applyFill="1" applyBorder="1" applyAlignment="1" applyProtection="1">
      <alignment horizontal="right" vertical="center"/>
      <protection/>
    </xf>
    <xf numFmtId="0" fontId="167" fillId="0" borderId="0" xfId="51" applyFont="1" applyFill="1" applyBorder="1" applyAlignment="1" applyProtection="1">
      <alignment horizontal="center" vertical="center"/>
      <protection/>
    </xf>
    <xf numFmtId="4" fontId="187" fillId="0" borderId="0" xfId="51" applyNumberFormat="1" applyFont="1" applyFill="1" applyBorder="1" applyAlignment="1" applyProtection="1">
      <alignment horizontal="right" vertical="center"/>
      <protection/>
    </xf>
    <xf numFmtId="4" fontId="178" fillId="22" borderId="75" xfId="52" applyNumberFormat="1" applyFont="1" applyFill="1" applyBorder="1" applyAlignment="1" applyProtection="1">
      <alignment horizontal="right" vertical="center"/>
      <protection/>
    </xf>
    <xf numFmtId="4" fontId="178" fillId="0" borderId="65" xfId="52" applyNumberFormat="1" applyFont="1" applyFill="1" applyBorder="1" applyAlignment="1" applyProtection="1">
      <alignment horizontal="right" vertical="center"/>
      <protection/>
    </xf>
    <xf numFmtId="0" fontId="188" fillId="32" borderId="76" xfId="52" applyFont="1" applyFill="1" applyBorder="1" applyProtection="1">
      <alignment/>
      <protection/>
    </xf>
    <xf numFmtId="1" fontId="189" fillId="32" borderId="77" xfId="51" applyNumberFormat="1" applyFont="1" applyFill="1" applyBorder="1" applyAlignment="1" applyProtection="1">
      <alignment horizontal="center" vertical="center"/>
      <protection locked="0"/>
    </xf>
    <xf numFmtId="0" fontId="188" fillId="22" borderId="76" xfId="52" applyFont="1" applyFill="1" applyBorder="1" applyProtection="1">
      <alignment/>
      <protection/>
    </xf>
    <xf numFmtId="0" fontId="189" fillId="32" borderId="78" xfId="51" applyNumberFormat="1" applyFont="1" applyFill="1" applyBorder="1" applyAlignment="1" applyProtection="1">
      <alignment horizontal="center" vertical="center"/>
      <protection locked="0"/>
    </xf>
    <xf numFmtId="0" fontId="188" fillId="22" borderId="79" xfId="52" applyFont="1" applyFill="1" applyBorder="1" applyProtection="1">
      <alignment/>
      <protection/>
    </xf>
    <xf numFmtId="1" fontId="189" fillId="32" borderId="78" xfId="51" applyNumberFormat="1" applyFont="1" applyFill="1" applyBorder="1" applyAlignment="1" applyProtection="1">
      <alignment horizontal="center" vertical="center"/>
      <protection locked="0"/>
    </xf>
    <xf numFmtId="0" fontId="188" fillId="22" borderId="80" xfId="52" applyFont="1" applyFill="1" applyBorder="1" applyProtection="1">
      <alignment/>
      <protection/>
    </xf>
    <xf numFmtId="4" fontId="178" fillId="22" borderId="81" xfId="52" applyNumberFormat="1" applyFont="1" applyFill="1" applyBorder="1" applyAlignment="1" applyProtection="1">
      <alignment horizontal="right" vertical="center"/>
      <protection/>
    </xf>
    <xf numFmtId="1" fontId="190" fillId="35" borderId="82" xfId="51" applyNumberFormat="1" applyFont="1" applyFill="1" applyBorder="1" applyAlignment="1" applyProtection="1">
      <alignment horizontal="center" vertical="center"/>
      <protection locked="0"/>
    </xf>
    <xf numFmtId="0" fontId="188" fillId="22" borderId="83" xfId="52" applyFont="1" applyFill="1" applyBorder="1" applyProtection="1">
      <alignment/>
      <protection/>
    </xf>
    <xf numFmtId="1" fontId="189" fillId="36" borderId="78" xfId="51" applyNumberFormat="1" applyFont="1" applyFill="1" applyBorder="1" applyAlignment="1" applyProtection="1">
      <alignment horizontal="center" vertical="center"/>
      <protection locked="0"/>
    </xf>
    <xf numFmtId="3" fontId="189" fillId="36" borderId="84" xfId="51" applyNumberFormat="1" applyFont="1" applyFill="1" applyBorder="1" applyAlignment="1" applyProtection="1">
      <alignment horizontal="center" vertical="center"/>
      <protection locked="0"/>
    </xf>
    <xf numFmtId="4" fontId="178" fillId="37" borderId="65" xfId="52" applyNumberFormat="1" applyFont="1" applyFill="1" applyBorder="1" applyAlignment="1" applyProtection="1">
      <alignment horizontal="right" vertical="center"/>
      <protection/>
    </xf>
    <xf numFmtId="4" fontId="191" fillId="22" borderId="69" xfId="52" applyNumberFormat="1" applyFont="1" applyFill="1" applyBorder="1" applyAlignment="1" applyProtection="1">
      <alignment horizontal="right" vertical="center"/>
      <protection/>
    </xf>
    <xf numFmtId="3" fontId="5" fillId="0" borderId="71" xfId="51" applyNumberFormat="1" applyFont="1" applyFill="1" applyBorder="1" applyAlignment="1" applyProtection="1">
      <alignment vertical="center"/>
      <protection/>
    </xf>
    <xf numFmtId="3" fontId="5" fillId="0" borderId="72" xfId="51" applyNumberFormat="1" applyFont="1" applyFill="1" applyBorder="1" applyAlignment="1" applyProtection="1">
      <alignment vertical="center"/>
      <protection/>
    </xf>
    <xf numFmtId="0" fontId="192" fillId="34" borderId="85" xfId="49" applyFont="1" applyFill="1" applyBorder="1" applyAlignment="1" applyProtection="1">
      <alignment horizontal="left" vertical="center" wrapText="1"/>
      <protection/>
    </xf>
    <xf numFmtId="0" fontId="61" fillId="34" borderId="86" xfId="49" applyFont="1" applyFill="1" applyBorder="1" applyAlignment="1" applyProtection="1">
      <alignment horizontal="center" vertical="center" wrapText="1"/>
      <protection/>
    </xf>
    <xf numFmtId="0" fontId="193" fillId="34" borderId="87" xfId="51" applyFont="1" applyFill="1" applyBorder="1" applyAlignment="1" applyProtection="1">
      <alignment horizontal="right" vertical="top"/>
      <protection/>
    </xf>
    <xf numFmtId="0" fontId="192" fillId="34" borderId="88" xfId="49" applyFont="1" applyFill="1" applyBorder="1" applyAlignment="1" applyProtection="1">
      <alignment horizontal="left" vertical="center" wrapText="1"/>
      <protection/>
    </xf>
    <xf numFmtId="0" fontId="75" fillId="0" borderId="0" xfId="51" applyFont="1" applyFill="1" applyBorder="1" applyAlignment="1" applyProtection="1">
      <alignment horizontal="left"/>
      <protection/>
    </xf>
    <xf numFmtId="0" fontId="194" fillId="22" borderId="0" xfId="52" applyFont="1" applyFill="1" applyBorder="1" applyAlignment="1" applyProtection="1">
      <alignment vertical="center"/>
      <protection/>
    </xf>
    <xf numFmtId="0" fontId="194" fillId="22" borderId="0" xfId="52" applyFont="1" applyFill="1" applyBorder="1" applyProtection="1">
      <alignment/>
      <protection/>
    </xf>
    <xf numFmtId="0" fontId="180" fillId="0" borderId="0" xfId="51" applyFont="1" applyFill="1" applyBorder="1" applyAlignment="1" applyProtection="1">
      <alignment horizontal="left"/>
      <protection/>
    </xf>
    <xf numFmtId="3" fontId="180" fillId="0" borderId="0" xfId="51" applyNumberFormat="1" applyFont="1" applyFill="1" applyBorder="1" applyAlignment="1" applyProtection="1">
      <alignment vertical="center"/>
      <protection/>
    </xf>
    <xf numFmtId="1" fontId="190" fillId="35" borderId="89" xfId="51" applyNumberFormat="1" applyFont="1" applyFill="1" applyBorder="1" applyAlignment="1" applyProtection="1">
      <alignment horizontal="center" vertical="center"/>
      <protection locked="0"/>
    </xf>
    <xf numFmtId="0" fontId="37" fillId="0" borderId="16" xfId="51" applyFont="1" applyFill="1" applyBorder="1" applyProtection="1">
      <alignment/>
      <protection/>
    </xf>
    <xf numFmtId="1" fontId="37" fillId="0" borderId="16" xfId="51" applyNumberFormat="1" applyFont="1" applyFill="1" applyBorder="1" applyProtection="1">
      <alignment/>
      <protection/>
    </xf>
    <xf numFmtId="0" fontId="188" fillId="22" borderId="90" xfId="52" applyFont="1" applyFill="1" applyBorder="1" applyProtection="1">
      <alignment/>
      <protection/>
    </xf>
    <xf numFmtId="4" fontId="37" fillId="0" borderId="16" xfId="51" applyNumberFormat="1" applyFont="1" applyFill="1" applyBorder="1" applyProtection="1">
      <alignment/>
      <protection/>
    </xf>
    <xf numFmtId="3" fontId="34" fillId="6" borderId="38" xfId="52" applyNumberFormat="1" applyFont="1" applyFill="1" applyBorder="1" applyAlignment="1" applyProtection="1">
      <alignment horizontal="right" vertical="center"/>
      <protection/>
    </xf>
    <xf numFmtId="0" fontId="33" fillId="6" borderId="0" xfId="52" applyFont="1" applyFill="1" applyBorder="1" applyAlignment="1" applyProtection="1">
      <alignment vertical="center"/>
      <protection/>
    </xf>
    <xf numFmtId="0" fontId="35" fillId="6" borderId="0" xfId="52" applyFont="1" applyFill="1" applyBorder="1" applyAlignment="1" applyProtection="1">
      <alignment horizontal="center"/>
      <protection/>
    </xf>
    <xf numFmtId="0" fontId="33" fillId="6" borderId="17" xfId="52" applyFont="1" applyFill="1" applyBorder="1" applyProtection="1">
      <alignment/>
      <protection/>
    </xf>
    <xf numFmtId="4" fontId="33" fillId="6" borderId="16" xfId="52" applyNumberFormat="1" applyFont="1" applyFill="1" applyBorder="1" applyAlignment="1" applyProtection="1">
      <alignment horizontal="right" vertical="center"/>
      <protection/>
    </xf>
    <xf numFmtId="0" fontId="33" fillId="6" borderId="0" xfId="52" applyFont="1" applyFill="1" applyBorder="1" applyAlignment="1" applyProtection="1">
      <alignment horizontal="center" vertical="center"/>
      <protection/>
    </xf>
    <xf numFmtId="0" fontId="37" fillId="6" borderId="0" xfId="51" applyFont="1" applyFill="1" applyBorder="1" applyProtection="1">
      <alignment/>
      <protection/>
    </xf>
    <xf numFmtId="0" fontId="37" fillId="6" borderId="17" xfId="51" applyFont="1" applyFill="1" applyBorder="1" applyProtection="1">
      <alignment/>
      <protection/>
    </xf>
    <xf numFmtId="0" fontId="37" fillId="6" borderId="19" xfId="51" applyFont="1" applyFill="1" applyBorder="1" applyProtection="1">
      <alignment/>
      <protection/>
    </xf>
    <xf numFmtId="0" fontId="37" fillId="6" borderId="22" xfId="51" applyFont="1" applyFill="1" applyBorder="1" applyProtection="1">
      <alignment/>
      <protection/>
    </xf>
    <xf numFmtId="0" fontId="37" fillId="6" borderId="23" xfId="51" applyFont="1" applyFill="1" applyBorder="1" applyProtection="1">
      <alignment/>
      <protection/>
    </xf>
    <xf numFmtId="4" fontId="195" fillId="22" borderId="91" xfId="52" applyNumberFormat="1" applyFont="1" applyFill="1" applyBorder="1" applyAlignment="1" applyProtection="1">
      <alignment horizontal="right" vertical="center"/>
      <protection/>
    </xf>
    <xf numFmtId="4" fontId="195" fillId="22" borderId="92" xfId="52" applyNumberFormat="1" applyFont="1" applyFill="1" applyBorder="1" applyAlignment="1" applyProtection="1">
      <alignment horizontal="right" vertical="center"/>
      <protection/>
    </xf>
    <xf numFmtId="4" fontId="195" fillId="22" borderId="93" xfId="52" applyNumberFormat="1" applyFont="1" applyFill="1" applyBorder="1" applyAlignment="1" applyProtection="1">
      <alignment horizontal="right" vertical="center"/>
      <protection/>
    </xf>
    <xf numFmtId="4" fontId="195" fillId="22" borderId="94" xfId="52" applyNumberFormat="1" applyFont="1" applyFill="1" applyBorder="1" applyAlignment="1" applyProtection="1">
      <alignment horizontal="right" vertical="center"/>
      <protection/>
    </xf>
    <xf numFmtId="0" fontId="77" fillId="0" borderId="19" xfId="51" applyFont="1" applyFill="1" applyBorder="1" applyProtection="1">
      <alignment/>
      <protection/>
    </xf>
    <xf numFmtId="4" fontId="195" fillId="22" borderId="95" xfId="52" applyNumberFormat="1" applyFont="1" applyFill="1" applyBorder="1" applyAlignment="1" applyProtection="1">
      <alignment horizontal="right" vertical="center"/>
      <protection/>
    </xf>
    <xf numFmtId="1" fontId="190" fillId="22" borderId="89" xfId="51" applyNumberFormat="1" applyFont="1" applyFill="1" applyBorder="1" applyAlignment="1" applyProtection="1">
      <alignment horizontal="center" vertical="center"/>
      <protection/>
    </xf>
    <xf numFmtId="0" fontId="188" fillId="22" borderId="96" xfId="52" applyFont="1" applyFill="1" applyBorder="1" applyProtection="1">
      <alignment/>
      <protection/>
    </xf>
    <xf numFmtId="1" fontId="190" fillId="22" borderId="97" xfId="51" applyNumberFormat="1" applyFont="1" applyFill="1" applyBorder="1" applyAlignment="1" applyProtection="1">
      <alignment horizontal="center" vertical="center"/>
      <protection/>
    </xf>
    <xf numFmtId="0" fontId="188" fillId="22" borderId="98" xfId="52" applyFont="1" applyFill="1" applyBorder="1" applyProtection="1">
      <alignment/>
      <protection/>
    </xf>
    <xf numFmtId="1" fontId="190" fillId="22" borderId="99" xfId="51" applyNumberFormat="1" applyFont="1" applyFill="1" applyBorder="1" applyAlignment="1" applyProtection="1">
      <alignment horizontal="center" vertical="center"/>
      <protection/>
    </xf>
    <xf numFmtId="0" fontId="188" fillId="22" borderId="100" xfId="52" applyFont="1" applyFill="1" applyBorder="1" applyProtection="1">
      <alignment/>
      <protection/>
    </xf>
    <xf numFmtId="1" fontId="190" fillId="22" borderId="101" xfId="51" applyNumberFormat="1" applyFont="1" applyFill="1" applyBorder="1" applyAlignment="1" applyProtection="1">
      <alignment horizontal="center" vertical="center"/>
      <protection/>
    </xf>
    <xf numFmtId="1" fontId="190" fillId="32" borderId="77" xfId="51" applyNumberFormat="1" applyFont="1" applyFill="1" applyBorder="1" applyAlignment="1" applyProtection="1">
      <alignment horizontal="center" vertical="center"/>
      <protection locked="0"/>
    </xf>
    <xf numFmtId="0" fontId="190" fillId="32" borderId="78" xfId="51" applyNumberFormat="1" applyFont="1" applyFill="1" applyBorder="1" applyAlignment="1" applyProtection="1">
      <alignment horizontal="center" vertical="center"/>
      <protection locked="0"/>
    </xf>
    <xf numFmtId="0" fontId="188" fillId="32" borderId="79" xfId="52" applyFont="1" applyFill="1" applyBorder="1" applyProtection="1">
      <alignment/>
      <protection/>
    </xf>
    <xf numFmtId="3" fontId="190" fillId="32" borderId="84" xfId="51" applyNumberFormat="1" applyFont="1" applyFill="1" applyBorder="1" applyAlignment="1" applyProtection="1">
      <alignment horizontal="center" vertical="center"/>
      <protection locked="0"/>
    </xf>
    <xf numFmtId="0" fontId="188" fillId="32" borderId="80" xfId="52" applyFont="1" applyFill="1" applyBorder="1" applyProtection="1">
      <alignment/>
      <protection/>
    </xf>
    <xf numFmtId="182" fontId="160" fillId="25" borderId="47" xfId="52" applyNumberFormat="1" applyFont="1" applyFill="1" applyBorder="1" applyAlignment="1" applyProtection="1">
      <alignment horizontal="right" vertical="center"/>
      <protection/>
    </xf>
    <xf numFmtId="4" fontId="178" fillId="22" borderId="102" xfId="52" applyNumberFormat="1" applyFont="1" applyFill="1" applyBorder="1" applyAlignment="1" applyProtection="1">
      <alignment horizontal="right" vertical="center"/>
      <protection/>
    </xf>
    <xf numFmtId="1" fontId="190" fillId="22" borderId="103" xfId="51" applyNumberFormat="1" applyFont="1" applyFill="1" applyBorder="1" applyAlignment="1" applyProtection="1">
      <alignment horizontal="center" vertical="center"/>
      <protection/>
    </xf>
    <xf numFmtId="0" fontId="188" fillId="22" borderId="104" xfId="52" applyFont="1" applyFill="1" applyBorder="1" applyProtection="1">
      <alignment/>
      <protection/>
    </xf>
    <xf numFmtId="4" fontId="178" fillId="22" borderId="105" xfId="52" applyNumberFormat="1" applyFont="1" applyFill="1" applyBorder="1" applyAlignment="1" applyProtection="1">
      <alignment horizontal="right" vertical="center"/>
      <protection/>
    </xf>
    <xf numFmtId="0" fontId="188" fillId="32" borderId="106" xfId="52" applyFont="1" applyFill="1" applyBorder="1" applyProtection="1">
      <alignment/>
      <protection/>
    </xf>
    <xf numFmtId="4" fontId="178" fillId="22" borderId="107" xfId="52" applyNumberFormat="1" applyFont="1" applyFill="1" applyBorder="1" applyAlignment="1" applyProtection="1">
      <alignment horizontal="right" vertical="center"/>
      <protection/>
    </xf>
    <xf numFmtId="1" fontId="190" fillId="35" borderId="108" xfId="51" applyNumberFormat="1" applyFont="1" applyFill="1" applyBorder="1" applyAlignment="1" applyProtection="1">
      <alignment horizontal="center" vertical="center"/>
      <protection locked="0"/>
    </xf>
    <xf numFmtId="0" fontId="188" fillId="32" borderId="109" xfId="52" applyFont="1" applyFill="1" applyBorder="1" applyProtection="1">
      <alignment/>
      <protection/>
    </xf>
    <xf numFmtId="4" fontId="195" fillId="30" borderId="110" xfId="52" applyNumberFormat="1" applyFont="1" applyFill="1" applyBorder="1" applyAlignment="1" applyProtection="1">
      <alignment horizontal="right" vertical="center"/>
      <protection/>
    </xf>
    <xf numFmtId="3" fontId="45" fillId="0" borderId="0" xfId="51" applyNumberFormat="1" applyFont="1" applyFill="1" applyBorder="1" applyAlignment="1" applyProtection="1">
      <alignment vertical="center"/>
      <protection/>
    </xf>
    <xf numFmtId="0" fontId="52" fillId="0" borderId="0" xfId="51" applyFont="1" applyFill="1" applyBorder="1" applyAlignment="1" applyProtection="1">
      <alignment horizontal="center" vertical="center"/>
      <protection/>
    </xf>
    <xf numFmtId="0" fontId="159" fillId="32" borderId="16" xfId="51" applyFont="1" applyFill="1" applyBorder="1" applyAlignment="1" applyProtection="1">
      <alignment horizontal="center" vertical="center"/>
      <protection locked="0"/>
    </xf>
    <xf numFmtId="1" fontId="159" fillId="32" borderId="30" xfId="51" applyNumberFormat="1" applyFont="1" applyFill="1" applyBorder="1" applyAlignment="1" applyProtection="1">
      <alignment horizontal="center" vertical="center"/>
      <protection locked="0"/>
    </xf>
    <xf numFmtId="0" fontId="196" fillId="0" borderId="18" xfId="51" applyFont="1" applyFill="1" applyBorder="1" applyAlignment="1" applyProtection="1">
      <alignment horizontal="center" vertical="center"/>
      <protection/>
    </xf>
    <xf numFmtId="0" fontId="33" fillId="0" borderId="111" xfId="51" applyFont="1" applyFill="1" applyBorder="1" applyAlignment="1" applyProtection="1">
      <alignment vertical="center"/>
      <protection/>
    </xf>
    <xf numFmtId="0" fontId="33" fillId="0" borderId="30" xfId="53" applyFont="1" applyFill="1" applyBorder="1" applyAlignment="1" applyProtection="1">
      <alignment horizontal="center" vertical="center"/>
      <protection/>
    </xf>
    <xf numFmtId="37" fontId="33" fillId="0" borderId="24" xfId="55" applyFont="1" applyFill="1" applyBorder="1" applyAlignment="1" applyProtection="1">
      <alignment horizontal="center" vertical="center"/>
      <protection/>
    </xf>
    <xf numFmtId="37" fontId="33" fillId="0" borderId="112" xfId="55" applyFont="1" applyFill="1" applyBorder="1" applyAlignment="1" applyProtection="1">
      <alignment horizontal="center" vertical="center"/>
      <protection/>
    </xf>
    <xf numFmtId="37" fontId="33" fillId="0" borderId="38" xfId="55" applyFont="1" applyFill="1" applyBorder="1" applyAlignment="1" applyProtection="1">
      <alignment horizontal="center" vertical="center"/>
      <protection/>
    </xf>
    <xf numFmtId="1" fontId="34" fillId="22" borderId="16" xfId="55" applyNumberFormat="1" applyFont="1" applyFill="1" applyBorder="1" applyAlignment="1" applyProtection="1">
      <alignment horizontal="center" vertical="center"/>
      <protection/>
    </xf>
    <xf numFmtId="0" fontId="0" fillId="0" borderId="16" xfId="51" applyFont="1" applyFill="1" applyBorder="1" applyProtection="1">
      <alignment/>
      <protection/>
    </xf>
    <xf numFmtId="1" fontId="34" fillId="22" borderId="16" xfId="51" applyNumberFormat="1" applyFont="1" applyFill="1" applyBorder="1" applyAlignment="1" applyProtection="1">
      <alignment horizontal="center" vertical="center"/>
      <protection/>
    </xf>
    <xf numFmtId="0" fontId="34" fillId="0" borderId="0" xfId="51" applyFont="1" applyFill="1" applyBorder="1" applyAlignment="1" applyProtection="1">
      <alignment vertical="center"/>
      <protection/>
    </xf>
    <xf numFmtId="0" fontId="34" fillId="0" borderId="12" xfId="51" applyFont="1" applyFill="1" applyBorder="1" applyAlignment="1" applyProtection="1">
      <alignment vertical="center"/>
      <protection/>
    </xf>
    <xf numFmtId="0" fontId="81" fillId="0" borderId="0" xfId="51" applyFont="1" applyFill="1" applyProtection="1">
      <alignment/>
      <protection/>
    </xf>
    <xf numFmtId="0" fontId="11" fillId="38" borderId="0" xfId="51" applyFont="1" applyFill="1" applyProtection="1">
      <alignment/>
      <protection/>
    </xf>
    <xf numFmtId="0" fontId="37" fillId="38" borderId="0" xfId="51" applyFont="1" applyFill="1" applyAlignment="1" applyProtection="1">
      <alignment vertical="center"/>
      <protection/>
    </xf>
    <xf numFmtId="0" fontId="33" fillId="38" borderId="0" xfId="51" applyFont="1" applyFill="1" applyAlignment="1" applyProtection="1">
      <alignment vertical="center"/>
      <protection/>
    </xf>
    <xf numFmtId="0" fontId="33" fillId="0" borderId="15" xfId="54" applyFont="1" applyFill="1" applyBorder="1" applyAlignment="1" applyProtection="1">
      <alignment horizontal="right" vertical="center"/>
      <protection/>
    </xf>
    <xf numFmtId="0" fontId="33" fillId="0" borderId="20" xfId="54" applyFont="1" applyFill="1" applyBorder="1" applyAlignment="1" applyProtection="1">
      <alignment horizontal="center" vertical="center"/>
      <protection/>
    </xf>
    <xf numFmtId="0" fontId="33" fillId="0" borderId="113" xfId="54" applyFont="1" applyFill="1" applyBorder="1" applyAlignment="1" applyProtection="1">
      <alignment horizontal="right" vertical="center"/>
      <protection/>
    </xf>
    <xf numFmtId="4" fontId="33" fillId="0" borderId="114" xfId="54" applyNumberFormat="1" applyFont="1" applyFill="1" applyBorder="1" applyAlignment="1" applyProtection="1">
      <alignment horizontal="right" vertical="center"/>
      <protection/>
    </xf>
    <xf numFmtId="0" fontId="33" fillId="0" borderId="115" xfId="54" applyFont="1" applyFill="1" applyBorder="1" applyAlignment="1" applyProtection="1">
      <alignment horizontal="right" vertical="center"/>
      <protection/>
    </xf>
    <xf numFmtId="4" fontId="33" fillId="0" borderId="116" xfId="54" applyNumberFormat="1" applyFont="1" applyFill="1" applyBorder="1" applyAlignment="1" applyProtection="1">
      <alignment horizontal="right" vertical="center"/>
      <protection/>
    </xf>
    <xf numFmtId="4" fontId="156" fillId="0" borderId="116" xfId="54" applyNumberFormat="1" applyFont="1" applyFill="1" applyBorder="1" applyAlignment="1" applyProtection="1">
      <alignment horizontal="right" vertical="center"/>
      <protection/>
    </xf>
    <xf numFmtId="0" fontId="33" fillId="0" borderId="117" xfId="54" applyFont="1" applyFill="1" applyBorder="1" applyAlignment="1" applyProtection="1">
      <alignment horizontal="right" vertical="center"/>
      <protection/>
    </xf>
    <xf numFmtId="4" fontId="33" fillId="0" borderId="118" xfId="54" applyNumberFormat="1" applyFont="1" applyFill="1" applyBorder="1" applyAlignment="1" applyProtection="1">
      <alignment horizontal="right" vertical="center"/>
      <protection/>
    </xf>
    <xf numFmtId="0" fontId="33" fillId="0" borderId="119" xfId="51" applyFont="1" applyFill="1" applyBorder="1" applyAlignment="1" applyProtection="1">
      <alignment horizontal="right" vertical="center"/>
      <protection/>
    </xf>
    <xf numFmtId="0" fontId="33" fillId="0" borderId="26" xfId="51" applyFont="1" applyFill="1" applyBorder="1" applyAlignment="1" applyProtection="1">
      <alignment horizontal="right" vertical="center"/>
      <protection/>
    </xf>
    <xf numFmtId="0" fontId="159" fillId="0" borderId="16" xfId="51" applyFont="1" applyFill="1" applyBorder="1" applyAlignment="1" applyProtection="1">
      <alignment horizontal="right" vertical="center"/>
      <protection/>
    </xf>
    <xf numFmtId="0" fontId="159" fillId="22" borderId="16" xfId="51" applyFont="1" applyFill="1" applyBorder="1" applyAlignment="1" applyProtection="1">
      <alignment horizontal="right" vertical="center"/>
      <protection/>
    </xf>
    <xf numFmtId="0" fontId="26" fillId="39" borderId="120" xfId="52" applyFont="1" applyFill="1" applyBorder="1" applyAlignment="1" applyProtection="1">
      <alignment horizontal="center" vertical="center"/>
      <protection/>
    </xf>
    <xf numFmtId="0" fontId="26" fillId="23" borderId="120" xfId="52" applyFont="1" applyFill="1" applyBorder="1" applyAlignment="1" applyProtection="1">
      <alignment horizontal="center" vertical="center"/>
      <protection/>
    </xf>
    <xf numFmtId="0" fontId="26" fillId="8" borderId="120" xfId="52" applyFont="1" applyFill="1" applyBorder="1" applyAlignment="1" applyProtection="1">
      <alignment horizontal="center" vertical="center"/>
      <protection/>
    </xf>
    <xf numFmtId="1" fontId="37" fillId="0" borderId="0" xfId="51" applyNumberFormat="1" applyFont="1" applyFill="1" applyProtection="1">
      <alignment/>
      <protection/>
    </xf>
    <xf numFmtId="1" fontId="76" fillId="0" borderId="17" xfId="51" applyNumberFormat="1" applyFont="1" applyFill="1" applyBorder="1" applyProtection="1">
      <alignment/>
      <protection/>
    </xf>
    <xf numFmtId="3" fontId="33" fillId="22" borderId="16" xfId="51" applyNumberFormat="1" applyFont="1" applyFill="1" applyBorder="1" applyAlignment="1" applyProtection="1">
      <alignment horizontal="center" vertical="center"/>
      <protection/>
    </xf>
    <xf numFmtId="1" fontId="33" fillId="22" borderId="16" xfId="51" applyNumberFormat="1" applyFont="1" applyFill="1" applyBorder="1" applyAlignment="1" applyProtection="1">
      <alignment horizontal="center" vertical="center"/>
      <protection/>
    </xf>
    <xf numFmtId="0" fontId="33" fillId="22" borderId="20" xfId="51" applyFont="1" applyFill="1" applyBorder="1" applyProtection="1">
      <alignment/>
      <protection/>
    </xf>
    <xf numFmtId="1" fontId="33" fillId="22" borderId="16" xfId="51" applyNumberFormat="1" applyFont="1" applyFill="1" applyBorder="1" applyAlignment="1" applyProtection="1">
      <alignment horizontal="right" vertical="center"/>
      <protection/>
    </xf>
    <xf numFmtId="0" fontId="26" fillId="6" borderId="121" xfId="52" applyFont="1" applyFill="1" applyBorder="1" applyAlignment="1" applyProtection="1">
      <alignment horizontal="center" vertical="center"/>
      <protection/>
    </xf>
    <xf numFmtId="4" fontId="197" fillId="40" borderId="122" xfId="52" applyNumberFormat="1" applyFont="1" applyFill="1" applyBorder="1" applyAlignment="1" applyProtection="1">
      <alignment horizontal="center" vertical="center"/>
      <protection/>
    </xf>
    <xf numFmtId="0" fontId="28" fillId="0" borderId="123" xfId="49" applyFont="1" applyBorder="1" applyProtection="1">
      <alignment/>
      <protection/>
    </xf>
    <xf numFmtId="4" fontId="197" fillId="40" borderId="124" xfId="52" applyNumberFormat="1" applyFont="1" applyFill="1" applyBorder="1" applyAlignment="1" applyProtection="1">
      <alignment horizontal="center" vertical="center"/>
      <protection/>
    </xf>
    <xf numFmtId="0" fontId="28" fillId="0" borderId="11" xfId="49" applyFont="1" applyBorder="1" applyProtection="1">
      <alignment/>
      <protection/>
    </xf>
    <xf numFmtId="4" fontId="197" fillId="40" borderId="125" xfId="52" applyNumberFormat="1" applyFont="1" applyFill="1" applyBorder="1" applyAlignment="1" applyProtection="1">
      <alignment horizontal="center" vertical="center"/>
      <protection/>
    </xf>
    <xf numFmtId="0" fontId="13" fillId="0" borderId="0" xfId="51" applyFont="1" applyFill="1" applyBorder="1" applyAlignment="1" applyProtection="1">
      <alignment horizontal="center" vertical="center"/>
      <protection/>
    </xf>
    <xf numFmtId="0" fontId="82" fillId="0" borderId="0" xfId="49" applyFont="1" applyBorder="1" applyProtection="1">
      <alignment/>
      <protection/>
    </xf>
    <xf numFmtId="0" fontId="15" fillId="0" borderId="0" xfId="51" applyFont="1" applyFill="1" applyBorder="1" applyAlignment="1" applyProtection="1">
      <alignment horizontal="right"/>
      <protection/>
    </xf>
    <xf numFmtId="0" fontId="159" fillId="36" borderId="16" xfId="51" applyFont="1" applyFill="1" applyBorder="1" applyAlignment="1" applyProtection="1">
      <alignment horizontal="center" vertical="center"/>
      <protection locked="0"/>
    </xf>
    <xf numFmtId="3" fontId="159" fillId="32" borderId="16" xfId="0" applyNumberFormat="1" applyFont="1" applyFill="1" applyBorder="1" applyAlignment="1" applyProtection="1">
      <alignment vertical="center"/>
      <protection locked="0"/>
    </xf>
    <xf numFmtId="0" fontId="2" fillId="32" borderId="16" xfId="51" applyFont="1" applyFill="1" applyBorder="1" applyProtection="1">
      <alignment/>
      <protection locked="0"/>
    </xf>
    <xf numFmtId="0" fontId="11" fillId="0" borderId="16" xfId="51" applyFont="1" applyFill="1" applyBorder="1" applyProtection="1">
      <alignment/>
      <protection locked="0"/>
    </xf>
    <xf numFmtId="4" fontId="159" fillId="32" borderId="16" xfId="52" applyNumberFormat="1" applyFont="1" applyFill="1" applyBorder="1" applyAlignment="1" applyProtection="1">
      <alignment horizontal="right" vertical="center"/>
      <protection locked="0"/>
    </xf>
    <xf numFmtId="2" fontId="159" fillId="32" borderId="16" xfId="51" applyNumberFormat="1" applyFont="1" applyFill="1" applyBorder="1" applyAlignment="1" applyProtection="1">
      <alignment horizontal="right" vertical="center"/>
      <protection locked="0"/>
    </xf>
    <xf numFmtId="0" fontId="198" fillId="0" borderId="0" xfId="0" applyFont="1" applyBorder="1" applyAlignment="1" applyProtection="1">
      <alignment vertical="center" wrapText="1"/>
      <protection/>
    </xf>
    <xf numFmtId="0" fontId="83" fillId="0" borderId="0" xfId="0" applyFont="1" applyBorder="1" applyAlignment="1" applyProtection="1">
      <alignment/>
      <protection/>
    </xf>
    <xf numFmtId="0" fontId="84" fillId="0" borderId="0" xfId="51" applyFont="1" applyFill="1" applyBorder="1" applyProtection="1">
      <alignment/>
      <protection/>
    </xf>
    <xf numFmtId="0" fontId="34" fillId="0" borderId="0" xfId="51" applyFont="1" applyFill="1" applyAlignment="1" applyProtection="1">
      <alignment vertical="center"/>
      <protection/>
    </xf>
    <xf numFmtId="0" fontId="71" fillId="0" borderId="0" xfId="51" applyFont="1" applyFill="1" applyProtection="1">
      <alignment/>
      <protection/>
    </xf>
    <xf numFmtId="0" fontId="87" fillId="0" borderId="126" xfId="51" applyFont="1" applyFill="1" applyBorder="1" applyProtection="1">
      <alignment/>
      <protection/>
    </xf>
    <xf numFmtId="0" fontId="88" fillId="0" borderId="126" xfId="51" applyFont="1" applyFill="1" applyBorder="1" applyAlignment="1" applyProtection="1">
      <alignment vertical="center"/>
      <protection/>
    </xf>
    <xf numFmtId="0" fontId="89" fillId="0" borderId="126" xfId="51" applyFont="1" applyFill="1" applyBorder="1" applyAlignment="1" applyProtection="1">
      <alignment vertical="center"/>
      <protection/>
    </xf>
    <xf numFmtId="0" fontId="87" fillId="0" borderId="0" xfId="51" applyFont="1" applyFill="1" applyProtection="1">
      <alignment/>
      <protection/>
    </xf>
    <xf numFmtId="0" fontId="88" fillId="0" borderId="0" xfId="51" applyFont="1" applyFill="1" applyProtection="1">
      <alignment/>
      <protection/>
    </xf>
    <xf numFmtId="0" fontId="34" fillId="0" borderId="42" xfId="51" applyFont="1" applyFill="1" applyBorder="1" applyAlignment="1" applyProtection="1">
      <alignment horizontal="right" vertical="center"/>
      <protection/>
    </xf>
    <xf numFmtId="0" fontId="34" fillId="22" borderId="64" xfId="51" applyFont="1" applyFill="1" applyBorder="1" applyAlignment="1" applyProtection="1">
      <alignment horizontal="right" vertical="center"/>
      <protection/>
    </xf>
    <xf numFmtId="0" fontId="90" fillId="0" borderId="0" xfId="51" applyFont="1" applyFill="1" applyProtection="1">
      <alignment/>
      <protection/>
    </xf>
    <xf numFmtId="0" fontId="44" fillId="0" borderId="0" xfId="51" applyFont="1" applyFill="1" applyProtection="1">
      <alignment/>
      <protection/>
    </xf>
    <xf numFmtId="0" fontId="57" fillId="22" borderId="127" xfId="51" applyFont="1" applyFill="1" applyBorder="1" applyAlignment="1" applyProtection="1">
      <alignment horizontal="center"/>
      <protection/>
    </xf>
    <xf numFmtId="0" fontId="57" fillId="22" borderId="128" xfId="51" applyFont="1" applyFill="1" applyBorder="1" applyAlignment="1" applyProtection="1">
      <alignment horizontal="center"/>
      <protection/>
    </xf>
    <xf numFmtId="0" fontId="57" fillId="22" borderId="129" xfId="51" applyFont="1" applyFill="1" applyBorder="1" applyAlignment="1" applyProtection="1">
      <alignment horizontal="center"/>
      <protection/>
    </xf>
    <xf numFmtId="0" fontId="49" fillId="41" borderId="130" xfId="51" applyFont="1" applyFill="1" applyBorder="1" applyAlignment="1" applyProtection="1">
      <alignment horizontal="center" vertical="center"/>
      <protection/>
    </xf>
    <xf numFmtId="0" fontId="52" fillId="42" borderId="131" xfId="49" applyFont="1" applyFill="1" applyBorder="1" applyAlignment="1" applyProtection="1">
      <alignment horizontal="center"/>
      <protection/>
    </xf>
    <xf numFmtId="0" fontId="15" fillId="0" borderId="132" xfId="51" applyFont="1" applyFill="1" applyBorder="1" applyAlignment="1" applyProtection="1">
      <alignment horizontal="right"/>
      <protection/>
    </xf>
    <xf numFmtId="0" fontId="15" fillId="0" borderId="128" xfId="51" applyFont="1" applyFill="1" applyBorder="1" applyAlignment="1" applyProtection="1">
      <alignment horizontal="right"/>
      <protection/>
    </xf>
    <xf numFmtId="0" fontId="50" fillId="34" borderId="0" xfId="49" applyFont="1" applyFill="1" applyBorder="1" applyAlignment="1" applyProtection="1">
      <alignment horizontal="center" vertical="center" wrapText="1"/>
      <protection/>
    </xf>
    <xf numFmtId="0" fontId="57" fillId="22" borderId="133" xfId="51" applyFont="1" applyFill="1" applyBorder="1" applyAlignment="1" applyProtection="1">
      <alignment horizontal="center"/>
      <protection/>
    </xf>
    <xf numFmtId="0" fontId="57" fillId="22" borderId="134" xfId="51" applyFont="1" applyFill="1" applyBorder="1" applyAlignment="1" applyProtection="1">
      <alignment horizontal="center"/>
      <protection/>
    </xf>
    <xf numFmtId="0" fontId="57" fillId="22" borderId="135" xfId="51" applyFont="1" applyFill="1" applyBorder="1" applyAlignment="1" applyProtection="1">
      <alignment horizontal="center"/>
      <protection/>
    </xf>
    <xf numFmtId="0" fontId="67" fillId="41" borderId="130" xfId="51" applyFont="1" applyFill="1" applyBorder="1" applyAlignment="1" applyProtection="1">
      <alignment horizontal="center" vertical="center"/>
      <protection/>
    </xf>
    <xf numFmtId="0" fontId="60" fillId="34" borderId="136" xfId="49" applyFont="1" applyFill="1" applyBorder="1" applyAlignment="1" applyProtection="1">
      <alignment horizontal="right" vertical="center" wrapText="1"/>
      <protection/>
    </xf>
    <xf numFmtId="0" fontId="60" fillId="34" borderId="137" xfId="49" applyFont="1" applyFill="1" applyBorder="1" applyAlignment="1" applyProtection="1">
      <alignment horizontal="right" vertical="center" wrapText="1"/>
      <protection/>
    </xf>
    <xf numFmtId="3" fontId="33" fillId="0" borderId="16" xfId="52" applyNumberFormat="1" applyFont="1" applyFill="1" applyBorder="1" applyAlignment="1" applyProtection="1">
      <alignment horizontal="right" vertical="center"/>
      <protection/>
    </xf>
    <xf numFmtId="3" fontId="33" fillId="42" borderId="16" xfId="52" applyNumberFormat="1" applyFont="1" applyFill="1" applyBorder="1" applyAlignment="1" applyProtection="1">
      <alignment horizontal="left" vertical="center"/>
      <protection/>
    </xf>
    <xf numFmtId="3" fontId="33" fillId="22" borderId="18" xfId="0" applyNumberFormat="1" applyFont="1" applyFill="1" applyBorder="1" applyAlignment="1" applyProtection="1">
      <alignment horizontal="left" vertical="center"/>
      <protection/>
    </xf>
    <xf numFmtId="3" fontId="33" fillId="22" borderId="111" xfId="0" applyNumberFormat="1" applyFont="1" applyFill="1" applyBorder="1" applyAlignment="1" applyProtection="1">
      <alignment horizontal="left" vertical="center"/>
      <protection/>
    </xf>
    <xf numFmtId="3" fontId="33" fillId="22" borderId="30" xfId="0" applyNumberFormat="1" applyFont="1" applyFill="1" applyBorder="1" applyAlignment="1" applyProtection="1">
      <alignment horizontal="left" vertical="center"/>
      <protection/>
    </xf>
    <xf numFmtId="0" fontId="33" fillId="0" borderId="16" xfId="51" applyFont="1" applyFill="1" applyBorder="1" applyAlignment="1" applyProtection="1">
      <alignment vertical="center"/>
      <protection/>
    </xf>
    <xf numFmtId="3" fontId="33" fillId="22" borderId="16" xfId="0" applyNumberFormat="1" applyFont="1" applyFill="1" applyBorder="1" applyAlignment="1" applyProtection="1">
      <alignment horizontal="right" vertical="center"/>
      <protection/>
    </xf>
    <xf numFmtId="0" fontId="37" fillId="0" borderId="16" xfId="51" applyFont="1" applyFill="1" applyBorder="1" applyAlignment="1" applyProtection="1">
      <alignment vertical="center"/>
      <protection/>
    </xf>
    <xf numFmtId="0" fontId="0" fillId="0" borderId="16" xfId="51" applyFont="1" applyFill="1" applyBorder="1" applyProtection="1">
      <alignment/>
      <protection/>
    </xf>
    <xf numFmtId="0" fontId="159" fillId="0" borderId="16" xfId="51" applyFont="1" applyFill="1" applyBorder="1" applyAlignment="1" applyProtection="1">
      <alignment horizontal="left" vertical="center"/>
      <protection/>
    </xf>
    <xf numFmtId="3" fontId="33" fillId="42" borderId="16" xfId="52" applyNumberFormat="1" applyFont="1" applyFill="1" applyBorder="1" applyAlignment="1" applyProtection="1">
      <alignment horizontal="left" vertical="center" wrapText="1"/>
      <protection/>
    </xf>
    <xf numFmtId="0" fontId="0" fillId="0" borderId="0" xfId="51" applyFont="1" applyFill="1" applyProtection="1">
      <alignment/>
      <protection/>
    </xf>
    <xf numFmtId="0" fontId="51" fillId="0" borderId="42" xfId="51" applyFont="1" applyFill="1" applyBorder="1" applyAlignment="1" applyProtection="1">
      <alignment horizontal="center" vertical="center"/>
      <protection/>
    </xf>
    <xf numFmtId="0" fontId="51" fillId="0" borderId="64" xfId="51" applyFont="1" applyFill="1" applyBorder="1" applyAlignment="1" applyProtection="1">
      <alignment horizontal="center" vertical="center"/>
      <protection/>
    </xf>
    <xf numFmtId="0" fontId="51" fillId="0" borderId="37" xfId="51" applyFont="1" applyFill="1" applyBorder="1" applyAlignment="1" applyProtection="1">
      <alignment horizontal="center" vertical="center"/>
      <protection/>
    </xf>
    <xf numFmtId="0" fontId="33" fillId="0" borderId="16" xfId="51" applyFont="1" applyFill="1" applyBorder="1" applyAlignment="1" applyProtection="1">
      <alignment horizontal="right" vertical="center"/>
      <protection/>
    </xf>
    <xf numFmtId="37" fontId="33" fillId="0" borderId="18" xfId="55" applyFont="1" applyFill="1" applyBorder="1" applyAlignment="1" applyProtection="1">
      <alignment horizontal="center" vertical="center"/>
      <protection/>
    </xf>
    <xf numFmtId="37" fontId="33" fillId="0" borderId="111" xfId="55" applyFont="1" applyFill="1" applyBorder="1" applyAlignment="1" applyProtection="1">
      <alignment horizontal="center" vertical="center"/>
      <protection/>
    </xf>
    <xf numFmtId="37" fontId="33" fillId="0" borderId="30" xfId="55" applyFont="1" applyFill="1" applyBorder="1" applyAlignment="1" applyProtection="1">
      <alignment horizontal="center" vertical="center"/>
      <protection/>
    </xf>
    <xf numFmtId="3" fontId="34" fillId="0" borderId="16" xfId="52" applyNumberFormat="1" applyFont="1" applyFill="1" applyBorder="1" applyAlignment="1" applyProtection="1">
      <alignment horizontal="left" vertical="center"/>
      <protection/>
    </xf>
    <xf numFmtId="0" fontId="199" fillId="0" borderId="138" xfId="52" applyFont="1" applyFill="1" applyBorder="1" applyAlignment="1" applyProtection="1">
      <alignment horizontal="center" vertical="center"/>
      <protection/>
    </xf>
    <xf numFmtId="0" fontId="199" fillId="0" borderId="43" xfId="52" applyFont="1" applyFill="1" applyBorder="1" applyAlignment="1" applyProtection="1">
      <alignment horizontal="center" vertical="center"/>
      <protection/>
    </xf>
    <xf numFmtId="0" fontId="199" fillId="0" borderId="14" xfId="52" applyFont="1" applyFill="1" applyBorder="1" applyAlignment="1" applyProtection="1">
      <alignment horizontal="center" vertical="center"/>
      <protection/>
    </xf>
    <xf numFmtId="0" fontId="199" fillId="0" borderId="21" xfId="52" applyFont="1" applyFill="1" applyBorder="1" applyAlignment="1" applyProtection="1">
      <alignment horizontal="center" vertical="center"/>
      <protection/>
    </xf>
    <xf numFmtId="0" fontId="199" fillId="0" borderId="22" xfId="52" applyFont="1" applyFill="1" applyBorder="1" applyAlignment="1" applyProtection="1">
      <alignment horizontal="center" vertical="center"/>
      <protection/>
    </xf>
    <xf numFmtId="0" fontId="199" fillId="0" borderId="23" xfId="52" applyFont="1" applyFill="1" applyBorder="1" applyAlignment="1" applyProtection="1">
      <alignment horizontal="center" vertical="center"/>
      <protection/>
    </xf>
    <xf numFmtId="3" fontId="33" fillId="0" borderId="15" xfId="52" applyNumberFormat="1" applyFont="1" applyFill="1" applyBorder="1" applyAlignment="1" applyProtection="1">
      <alignment horizontal="right" vertical="center"/>
      <protection/>
    </xf>
    <xf numFmtId="3" fontId="33" fillId="0" borderId="19" xfId="52" applyNumberFormat="1" applyFont="1" applyFill="1" applyBorder="1" applyAlignment="1" applyProtection="1">
      <alignment horizontal="right" vertical="center"/>
      <protection/>
    </xf>
    <xf numFmtId="3" fontId="33" fillId="0" borderId="0" xfId="52" applyNumberFormat="1" applyFont="1" applyFill="1" applyBorder="1" applyAlignment="1" applyProtection="1">
      <alignment horizontal="right" vertical="center"/>
      <protection/>
    </xf>
    <xf numFmtId="0" fontId="33" fillId="0" borderId="18" xfId="52" applyFont="1" applyFill="1" applyBorder="1" applyAlignment="1" applyProtection="1">
      <alignment horizontal="center" vertical="center"/>
      <protection/>
    </xf>
    <xf numFmtId="0" fontId="33" fillId="0" borderId="30" xfId="52" applyFont="1" applyFill="1" applyBorder="1" applyAlignment="1" applyProtection="1">
      <alignment horizontal="center" vertical="center"/>
      <protection/>
    </xf>
    <xf numFmtId="0" fontId="199" fillId="6" borderId="138" xfId="52" applyFont="1" applyFill="1" applyBorder="1" applyAlignment="1" applyProtection="1">
      <alignment horizontal="center" vertical="center"/>
      <protection/>
    </xf>
    <xf numFmtId="0" fontId="199" fillId="6" borderId="43" xfId="52" applyFont="1" applyFill="1" applyBorder="1" applyAlignment="1" applyProtection="1">
      <alignment horizontal="center" vertical="center"/>
      <protection/>
    </xf>
    <xf numFmtId="0" fontId="199" fillId="6" borderId="14" xfId="52" applyFont="1" applyFill="1" applyBorder="1" applyAlignment="1" applyProtection="1">
      <alignment horizontal="center" vertical="center"/>
      <protection/>
    </xf>
    <xf numFmtId="0" fontId="199" fillId="6" borderId="21" xfId="52" applyFont="1" applyFill="1" applyBorder="1" applyAlignment="1" applyProtection="1">
      <alignment horizontal="center" vertical="center"/>
      <protection/>
    </xf>
    <xf numFmtId="0" fontId="199" fillId="6" borderId="22" xfId="52" applyFont="1" applyFill="1" applyBorder="1" applyAlignment="1" applyProtection="1">
      <alignment horizontal="center" vertical="center"/>
      <protection/>
    </xf>
    <xf numFmtId="0" fontId="199" fillId="6" borderId="23" xfId="52" applyFont="1" applyFill="1" applyBorder="1" applyAlignment="1" applyProtection="1">
      <alignment horizontal="center" vertical="center"/>
      <protection/>
    </xf>
    <xf numFmtId="0" fontId="33" fillId="0" borderId="38" xfId="51" applyFont="1" applyFill="1" applyBorder="1" applyAlignment="1" applyProtection="1">
      <alignment horizontal="center" vertical="center"/>
      <protection/>
    </xf>
    <xf numFmtId="0" fontId="199" fillId="0" borderId="19" xfId="52" applyFont="1" applyFill="1" applyBorder="1" applyAlignment="1" applyProtection="1">
      <alignment horizontal="center" vertical="center"/>
      <protection/>
    </xf>
    <xf numFmtId="0" fontId="199" fillId="0" borderId="0" xfId="52" applyFont="1" applyFill="1" applyBorder="1" applyAlignment="1" applyProtection="1">
      <alignment horizontal="center" vertical="center"/>
      <protection/>
    </xf>
    <xf numFmtId="0" fontId="199" fillId="0" borderId="17" xfId="52" applyFont="1" applyFill="1" applyBorder="1" applyAlignment="1" applyProtection="1">
      <alignment horizontal="center" vertical="center"/>
      <protection/>
    </xf>
    <xf numFmtId="3" fontId="33" fillId="0" borderId="15" xfId="51" applyNumberFormat="1" applyFont="1" applyFill="1" applyBorder="1" applyAlignment="1" applyProtection="1">
      <alignment horizontal="right" vertical="center"/>
      <protection/>
    </xf>
    <xf numFmtId="3" fontId="33" fillId="0" borderId="16" xfId="51" applyNumberFormat="1" applyFont="1" applyFill="1" applyBorder="1" applyAlignment="1" applyProtection="1">
      <alignment horizontal="right" vertical="center"/>
      <protection/>
    </xf>
    <xf numFmtId="3" fontId="33" fillId="6" borderId="15" xfId="52" applyNumberFormat="1" applyFont="1" applyFill="1" applyBorder="1" applyAlignment="1" applyProtection="1">
      <alignment horizontal="right" vertical="center"/>
      <protection/>
    </xf>
    <xf numFmtId="3" fontId="33" fillId="6" borderId="16" xfId="52" applyNumberFormat="1" applyFont="1" applyFill="1" applyBorder="1" applyAlignment="1" applyProtection="1">
      <alignment horizontal="right" vertical="center"/>
      <protection/>
    </xf>
    <xf numFmtId="0" fontId="33" fillId="0" borderId="18" xfId="51" applyFont="1" applyFill="1" applyBorder="1" applyAlignment="1" applyProtection="1">
      <alignment horizontal="center" vertical="center"/>
      <protection/>
    </xf>
    <xf numFmtId="0" fontId="33" fillId="0" borderId="30" xfId="51" applyFont="1" applyFill="1" applyBorder="1" applyAlignment="1" applyProtection="1">
      <alignment horizontal="center" vertical="center"/>
      <protection/>
    </xf>
    <xf numFmtId="0" fontId="33" fillId="0" borderId="16" xfId="52" applyFont="1" applyFill="1" applyBorder="1" applyAlignment="1" applyProtection="1">
      <alignment horizontal="center" vertical="center"/>
      <protection/>
    </xf>
    <xf numFmtId="0" fontId="34" fillId="0" borderId="18" xfId="53" applyFont="1" applyFill="1" applyBorder="1" applyAlignment="1" applyProtection="1">
      <alignment horizontal="center" vertical="center"/>
      <protection/>
    </xf>
    <xf numFmtId="0" fontId="34" fillId="0" borderId="111" xfId="53" applyFont="1" applyFill="1" applyBorder="1" applyAlignment="1" applyProtection="1">
      <alignment horizontal="center" vertical="center"/>
      <protection/>
    </xf>
    <xf numFmtId="0" fontId="34" fillId="0" borderId="30" xfId="53" applyFont="1" applyFill="1" applyBorder="1" applyAlignment="1" applyProtection="1">
      <alignment horizontal="center" vertical="center"/>
      <protection/>
    </xf>
    <xf numFmtId="0" fontId="74" fillId="0" borderId="18" xfId="51" applyFont="1" applyFill="1" applyBorder="1" applyAlignment="1" applyProtection="1">
      <alignment horizontal="center" vertical="center"/>
      <protection/>
    </xf>
    <xf numFmtId="0" fontId="74" fillId="0" borderId="111" xfId="51" applyFont="1" applyFill="1" applyBorder="1" applyAlignment="1" applyProtection="1">
      <alignment horizontal="center" vertical="center"/>
      <protection/>
    </xf>
    <xf numFmtId="0" fontId="74" fillId="0" borderId="30" xfId="51" applyFont="1" applyFill="1" applyBorder="1" applyAlignment="1" applyProtection="1">
      <alignment horizontal="center" vertical="center"/>
      <protection/>
    </xf>
    <xf numFmtId="37" fontId="34" fillId="0" borderId="18" xfId="55" applyFont="1" applyFill="1" applyBorder="1" applyAlignment="1" applyProtection="1">
      <alignment horizontal="center" vertical="center"/>
      <protection/>
    </xf>
    <xf numFmtId="37" fontId="34" fillId="0" borderId="111" xfId="55" applyFont="1" applyFill="1" applyBorder="1" applyAlignment="1" applyProtection="1">
      <alignment horizontal="center" vertical="center"/>
      <protection/>
    </xf>
    <xf numFmtId="37" fontId="34" fillId="0" borderId="30" xfId="55" applyFont="1" applyFill="1" applyBorder="1" applyAlignment="1" applyProtection="1">
      <alignment horizontal="center" vertical="center"/>
      <protection/>
    </xf>
    <xf numFmtId="0" fontId="159" fillId="43" borderId="16" xfId="51" applyFont="1" applyFill="1" applyBorder="1" applyAlignment="1" applyProtection="1">
      <alignment horizontal="center" vertical="center"/>
      <protection/>
    </xf>
    <xf numFmtId="0" fontId="33" fillId="0" borderId="24" xfId="51" applyFont="1" applyFill="1" applyBorder="1" applyAlignment="1" applyProtection="1">
      <alignment horizontal="right" vertical="center" wrapText="1"/>
      <protection/>
    </xf>
    <xf numFmtId="0" fontId="33" fillId="0" borderId="38" xfId="51" applyFont="1" applyFill="1" applyBorder="1" applyAlignment="1" applyProtection="1">
      <alignment horizontal="right" vertical="center" wrapText="1"/>
      <protection/>
    </xf>
    <xf numFmtId="0" fontId="33" fillId="6" borderId="18" xfId="51" applyFont="1" applyFill="1" applyBorder="1" applyAlignment="1" applyProtection="1">
      <alignment horizontal="right" vertical="center"/>
      <protection/>
    </xf>
    <xf numFmtId="0" fontId="33" fillId="6" borderId="30" xfId="51" applyFont="1" applyFill="1" applyBorder="1" applyAlignment="1" applyProtection="1">
      <alignment horizontal="right" vertical="center"/>
      <protection/>
    </xf>
    <xf numFmtId="0" fontId="33" fillId="31" borderId="18" xfId="51" applyFont="1" applyFill="1" applyBorder="1" applyAlignment="1" applyProtection="1">
      <alignment horizontal="right" vertical="center"/>
      <protection/>
    </xf>
    <xf numFmtId="0" fontId="33" fillId="31" borderId="30" xfId="51" applyFont="1" applyFill="1" applyBorder="1" applyAlignment="1" applyProtection="1">
      <alignment horizontal="right" vertical="center"/>
      <protection/>
    </xf>
    <xf numFmtId="0" fontId="83" fillId="0" borderId="0" xfId="0" applyFont="1" applyBorder="1" applyAlignment="1" applyProtection="1">
      <alignment vertical="center" wrapText="1"/>
      <protection/>
    </xf>
    <xf numFmtId="0" fontId="35" fillId="0" borderId="139" xfId="53" applyFont="1" applyFill="1" applyBorder="1" applyAlignment="1" applyProtection="1">
      <alignment horizontal="center" vertical="center"/>
      <protection/>
    </xf>
    <xf numFmtId="0" fontId="35" fillId="0" borderId="33" xfId="53" applyFont="1" applyFill="1" applyBorder="1" applyAlignment="1" applyProtection="1">
      <alignment horizontal="center" vertical="center"/>
      <protection/>
    </xf>
    <xf numFmtId="0" fontId="35" fillId="0" borderId="44" xfId="53" applyFont="1" applyFill="1" applyBorder="1" applyAlignment="1" applyProtection="1">
      <alignment horizontal="center" vertical="center"/>
      <protection/>
    </xf>
    <xf numFmtId="0" fontId="35" fillId="0" borderId="15" xfId="53" applyFont="1" applyFill="1" applyBorder="1" applyAlignment="1" applyProtection="1">
      <alignment horizontal="center" vertical="center"/>
      <protection/>
    </xf>
    <xf numFmtId="0" fontId="35" fillId="0" borderId="16" xfId="53" applyFont="1" applyFill="1" applyBorder="1" applyAlignment="1" applyProtection="1">
      <alignment horizontal="center" vertical="center"/>
      <protection/>
    </xf>
    <xf numFmtId="0" fontId="35" fillId="0" borderId="20" xfId="53" applyFont="1" applyFill="1" applyBorder="1" applyAlignment="1" applyProtection="1">
      <alignment horizontal="center" vertical="center"/>
      <protection/>
    </xf>
    <xf numFmtId="0" fontId="34" fillId="43" borderId="16" xfId="51" applyFont="1" applyFill="1" applyBorder="1" applyAlignment="1" applyProtection="1">
      <alignment horizontal="center" vertical="center"/>
      <protection/>
    </xf>
    <xf numFmtId="37" fontId="33" fillId="0" borderId="24" xfId="55" applyFont="1" applyFill="1" applyBorder="1" applyAlignment="1" applyProtection="1">
      <alignment horizontal="center" vertical="center" wrapText="1"/>
      <protection/>
    </xf>
    <xf numFmtId="37" fontId="33" fillId="0" borderId="16" xfId="55" applyFont="1" applyFill="1" applyBorder="1" applyAlignment="1" applyProtection="1">
      <alignment horizontal="center" vertical="center" wrapText="1"/>
      <protection/>
    </xf>
    <xf numFmtId="0" fontId="33" fillId="0" borderId="38" xfId="51" applyFont="1" applyFill="1" applyBorder="1" applyAlignment="1" applyProtection="1">
      <alignment horizontal="right" vertical="center"/>
      <protection/>
    </xf>
    <xf numFmtId="0" fontId="33" fillId="31" borderId="140" xfId="51" applyFont="1" applyFill="1" applyBorder="1" applyAlignment="1" applyProtection="1">
      <alignment horizontal="right" vertical="center"/>
      <protection/>
    </xf>
    <xf numFmtId="0" fontId="33" fillId="6" borderId="140" xfId="51" applyFont="1" applyFill="1" applyBorder="1" applyAlignment="1" applyProtection="1">
      <alignment horizontal="right" vertical="center"/>
      <protection/>
    </xf>
    <xf numFmtId="0" fontId="34" fillId="0" borderId="64" xfId="51" applyFont="1" applyFill="1" applyBorder="1" applyAlignment="1" applyProtection="1">
      <alignment horizontal="left" vertical="center"/>
      <protection/>
    </xf>
    <xf numFmtId="0" fontId="34" fillId="0" borderId="37" xfId="51" applyFont="1" applyFill="1" applyBorder="1" applyAlignment="1" applyProtection="1">
      <alignment horizontal="left" vertical="center"/>
      <protection/>
    </xf>
    <xf numFmtId="3" fontId="34" fillId="0" borderId="18" xfId="52" applyNumberFormat="1" applyFont="1" applyFill="1" applyBorder="1" applyAlignment="1" applyProtection="1">
      <alignment horizontal="left" vertical="center"/>
      <protection/>
    </xf>
    <xf numFmtId="3" fontId="34" fillId="0" borderId="111" xfId="52" applyNumberFormat="1" applyFont="1" applyFill="1" applyBorder="1" applyAlignment="1" applyProtection="1">
      <alignment horizontal="left" vertical="center"/>
      <protection/>
    </xf>
    <xf numFmtId="3" fontId="34" fillId="0" borderId="30" xfId="52" applyNumberFormat="1" applyFont="1" applyFill="1" applyBorder="1" applyAlignment="1" applyProtection="1">
      <alignment horizontal="left" vertical="center"/>
      <protection/>
    </xf>
    <xf numFmtId="4" fontId="33" fillId="22" borderId="119" xfId="52" applyNumberFormat="1" applyFont="1" applyFill="1" applyBorder="1" applyAlignment="1" applyProtection="1">
      <alignment horizontal="right" vertical="center"/>
      <protection/>
    </xf>
    <xf numFmtId="4" fontId="33" fillId="22" borderId="25" xfId="52" applyNumberFormat="1" applyFont="1" applyFill="1" applyBorder="1" applyAlignment="1" applyProtection="1">
      <alignment horizontal="right" vertical="center"/>
      <protection/>
    </xf>
    <xf numFmtId="4" fontId="33" fillId="22" borderId="15" xfId="52" applyNumberFormat="1" applyFont="1" applyFill="1" applyBorder="1" applyAlignment="1" applyProtection="1">
      <alignment horizontal="right" vertical="center"/>
      <protection/>
    </xf>
    <xf numFmtId="4" fontId="33" fillId="22" borderId="16" xfId="52" applyNumberFormat="1" applyFont="1" applyFill="1" applyBorder="1" applyAlignment="1" applyProtection="1">
      <alignment horizontal="right" vertical="center"/>
      <protection/>
    </xf>
    <xf numFmtId="0" fontId="33" fillId="0" borderId="141" xfId="51" applyFont="1" applyFill="1" applyBorder="1" applyAlignment="1" applyProtection="1">
      <alignment horizontal="left" vertical="center" wrapText="1"/>
      <protection/>
    </xf>
    <xf numFmtId="0" fontId="33" fillId="0" borderId="142" xfId="51" applyFont="1" applyFill="1" applyBorder="1" applyAlignment="1" applyProtection="1">
      <alignment horizontal="left" vertical="center" wrapText="1"/>
      <protection/>
    </xf>
    <xf numFmtId="0" fontId="33" fillId="0" borderId="143" xfId="51" applyFont="1" applyFill="1" applyBorder="1" applyAlignment="1" applyProtection="1">
      <alignment horizontal="left" vertical="center" wrapText="1"/>
      <protection/>
    </xf>
    <xf numFmtId="3" fontId="33" fillId="0" borderId="19" xfId="51" applyNumberFormat="1" applyFont="1" applyFill="1" applyBorder="1" applyAlignment="1" applyProtection="1">
      <alignment horizontal="right" vertical="center"/>
      <protection/>
    </xf>
    <xf numFmtId="3" fontId="33" fillId="0" borderId="0" xfId="51" applyNumberFormat="1" applyFont="1" applyFill="1" applyBorder="1" applyAlignment="1" applyProtection="1">
      <alignment horizontal="right" vertical="center"/>
      <protection/>
    </xf>
    <xf numFmtId="0" fontId="33" fillId="0" borderId="35" xfId="51" applyFont="1" applyFill="1" applyBorder="1" applyAlignment="1" applyProtection="1">
      <alignment horizontal="right" vertical="center" wrapText="1"/>
      <protection/>
    </xf>
    <xf numFmtId="0" fontId="33" fillId="0" borderId="34" xfId="51" applyFont="1" applyFill="1" applyBorder="1" applyAlignment="1" applyProtection="1">
      <alignment horizontal="right" vertical="center" wrapText="1"/>
      <protection/>
    </xf>
    <xf numFmtId="4" fontId="33" fillId="0" borderId="15" xfId="52" applyNumberFormat="1" applyFont="1" applyFill="1" applyBorder="1" applyAlignment="1" applyProtection="1">
      <alignment horizontal="right" vertical="center"/>
      <protection/>
    </xf>
    <xf numFmtId="4" fontId="33" fillId="0" borderId="16" xfId="52" applyNumberFormat="1" applyFont="1" applyFill="1" applyBorder="1" applyAlignment="1" applyProtection="1">
      <alignment horizontal="right" vertical="center"/>
      <protection/>
    </xf>
    <xf numFmtId="3" fontId="34" fillId="0" borderId="15" xfId="52" applyNumberFormat="1" applyFont="1" applyFill="1" applyBorder="1" applyAlignment="1" applyProtection="1">
      <alignment horizontal="right" vertical="center"/>
      <protection/>
    </xf>
    <xf numFmtId="3" fontId="34" fillId="0" borderId="16" xfId="52" applyNumberFormat="1" applyFont="1" applyFill="1" applyBorder="1" applyAlignment="1" applyProtection="1">
      <alignment horizontal="right" vertical="center"/>
      <protection/>
    </xf>
    <xf numFmtId="3" fontId="34" fillId="0" borderId="139" xfId="52" applyNumberFormat="1" applyFont="1" applyFill="1" applyBorder="1" applyAlignment="1" applyProtection="1">
      <alignment horizontal="right" vertical="center"/>
      <protection/>
    </xf>
    <xf numFmtId="3" fontId="34" fillId="0" borderId="33" xfId="52" applyNumberFormat="1" applyFont="1" applyFill="1" applyBorder="1" applyAlignment="1" applyProtection="1">
      <alignment horizontal="right" vertical="center"/>
      <protection/>
    </xf>
    <xf numFmtId="3" fontId="34" fillId="6" borderId="34" xfId="52" applyNumberFormat="1" applyFont="1" applyFill="1" applyBorder="1" applyAlignment="1" applyProtection="1">
      <alignment horizontal="right" vertical="center"/>
      <protection/>
    </xf>
    <xf numFmtId="3" fontId="34" fillId="6" borderId="38" xfId="52" applyNumberFormat="1" applyFont="1" applyFill="1" applyBorder="1" applyAlignment="1" applyProtection="1">
      <alignment horizontal="right" vertical="center"/>
      <protection/>
    </xf>
    <xf numFmtId="0" fontId="33" fillId="0" borderId="15" xfId="51" applyFont="1" applyFill="1" applyBorder="1" applyAlignment="1" applyProtection="1">
      <alignment horizontal="left" vertical="center"/>
      <protection/>
    </xf>
    <xf numFmtId="0" fontId="33" fillId="0" borderId="16" xfId="51" applyFont="1" applyFill="1" applyBorder="1" applyAlignment="1" applyProtection="1">
      <alignment horizontal="left" vertical="center"/>
      <protection/>
    </xf>
    <xf numFmtId="0" fontId="198" fillId="0" borderId="0" xfId="0" applyFont="1" applyBorder="1" applyAlignment="1" applyProtection="1">
      <alignment vertical="center" wrapText="1"/>
      <protection/>
    </xf>
    <xf numFmtId="3" fontId="33" fillId="0" borderId="16" xfId="52" applyNumberFormat="1" applyFont="1" applyFill="1" applyBorder="1" applyAlignment="1" applyProtection="1" quotePrefix="1">
      <alignment horizontal="right" vertical="center"/>
      <protection/>
    </xf>
    <xf numFmtId="4" fontId="33" fillId="6" borderId="21" xfId="52" applyNumberFormat="1" applyFont="1" applyFill="1" applyBorder="1" applyAlignment="1" applyProtection="1">
      <alignment horizontal="right" vertical="center"/>
      <protection/>
    </xf>
    <xf numFmtId="4" fontId="33" fillId="6" borderId="22" xfId="52" applyNumberFormat="1" applyFont="1" applyFill="1" applyBorder="1" applyAlignment="1" applyProtection="1">
      <alignment horizontal="right" vertical="center"/>
      <protection/>
    </xf>
    <xf numFmtId="3" fontId="33" fillId="6" borderId="140" xfId="52" applyNumberFormat="1" applyFont="1" applyFill="1" applyBorder="1" applyAlignment="1" applyProtection="1">
      <alignment horizontal="right" vertical="center"/>
      <protection/>
    </xf>
    <xf numFmtId="3" fontId="33" fillId="6" borderId="111" xfId="52" applyNumberFormat="1" applyFont="1" applyFill="1" applyBorder="1" applyAlignment="1" applyProtection="1">
      <alignment horizontal="right" vertical="center"/>
      <protection/>
    </xf>
    <xf numFmtId="3" fontId="33" fillId="6" borderId="30" xfId="52" applyNumberFormat="1" applyFont="1" applyFill="1" applyBorder="1" applyAlignment="1" applyProtection="1">
      <alignment horizontal="right" vertical="center"/>
      <protection/>
    </xf>
    <xf numFmtId="0" fontId="200" fillId="0" borderId="0" xfId="0" applyFont="1" applyBorder="1" applyAlignment="1" applyProtection="1">
      <alignment vertical="center" wrapText="1"/>
      <protection/>
    </xf>
    <xf numFmtId="0" fontId="83" fillId="0" borderId="0" xfId="0" applyFont="1" applyBorder="1" applyAlignment="1" applyProtection="1">
      <alignment/>
      <protection/>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_2" xfId="51"/>
    <cellStyle name="Normal_2 2" xfId="52"/>
    <cellStyle name="Normal_ADANA VİZE 2005-2" xfId="53"/>
    <cellStyle name="Normal_PROJE VİZE" xfId="54"/>
    <cellStyle name="Normal_Sayfa1" xfId="55"/>
    <cellStyle name="Not" xfId="56"/>
    <cellStyle name="Nötr" xfId="57"/>
    <cellStyle name="Currency" xfId="58"/>
    <cellStyle name="Currency [0]" xfId="59"/>
    <cellStyle name="Toplam" xfId="60"/>
    <cellStyle name="Uyarı Metni" xfId="61"/>
    <cellStyle name="Comma" xfId="62"/>
    <cellStyle name="Vurgu1" xfId="63"/>
    <cellStyle name="Vurgu2" xfId="64"/>
    <cellStyle name="Vurgu3" xfId="65"/>
    <cellStyle name="Vurgu4" xfId="66"/>
    <cellStyle name="Vurgu5" xfId="67"/>
    <cellStyle name="Vurgu6" xfId="68"/>
    <cellStyle name="Percent" xfId="69"/>
    <cellStyle name="Yüzde 2"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152400</xdr:colOff>
      <xdr:row>98</xdr:row>
      <xdr:rowOff>76200</xdr:rowOff>
    </xdr:from>
    <xdr:ext cx="209550" cy="247650"/>
    <xdr:sp fLocksText="0">
      <xdr:nvSpPr>
        <xdr:cNvPr id="1" name="1 Metin kutusu"/>
        <xdr:cNvSpPr txBox="1">
          <a:spLocks noChangeArrowheads="1"/>
        </xdr:cNvSpPr>
      </xdr:nvSpPr>
      <xdr:spPr>
        <a:xfrm>
          <a:off x="10163175" y="17154525"/>
          <a:ext cx="2095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M175"/>
  <sheetViews>
    <sheetView showGridLines="0" showZeros="0" tabSelected="1" zoomScale="106" zoomScaleNormal="106" zoomScaleSheetLayoutView="100" workbookViewId="0" topLeftCell="A1">
      <selection activeCell="C33" sqref="C33"/>
    </sheetView>
  </sheetViews>
  <sheetFormatPr defaultColWidth="3.7109375" defaultRowHeight="12.75"/>
  <cols>
    <col min="1" max="1" width="2.7109375" style="2" bestFit="1" customWidth="1"/>
    <col min="2" max="2" width="38.421875" style="1" bestFit="1" customWidth="1"/>
    <col min="3" max="3" width="8.8515625" style="1" bestFit="1" customWidth="1"/>
    <col min="4" max="4" width="3.8515625" style="1" customWidth="1"/>
    <col min="5" max="5" width="2.7109375" style="1" customWidth="1"/>
    <col min="6" max="10" width="3.28125" style="1" customWidth="1"/>
    <col min="11" max="11" width="1.7109375" style="1" customWidth="1"/>
    <col min="12" max="24" width="2.7109375" style="1" customWidth="1"/>
    <col min="25" max="26" width="2.7109375" style="2" customWidth="1"/>
    <col min="27" max="27" width="30.8515625" style="2" bestFit="1" customWidth="1"/>
    <col min="28" max="28" width="5.00390625" style="2" bestFit="1" customWidth="1"/>
    <col min="29" max="29" width="3.28125" style="2" bestFit="1" customWidth="1"/>
    <col min="30" max="57" width="2.7109375" style="2" customWidth="1"/>
    <col min="58" max="64" width="3.28125" style="2" customWidth="1"/>
    <col min="65" max="16384" width="3.7109375" style="2" customWidth="1"/>
  </cols>
  <sheetData>
    <row r="1" spans="1:4" ht="14.25" thickBot="1">
      <c r="A1" s="259" t="s">
        <v>248</v>
      </c>
      <c r="B1" s="466"/>
      <c r="C1" s="467"/>
      <c r="D1" s="467"/>
    </row>
    <row r="2" spans="2:4" ht="13.5">
      <c r="B2" s="469" t="s">
        <v>127</v>
      </c>
      <c r="C2" s="470"/>
      <c r="D2" s="471"/>
    </row>
    <row r="3" spans="2:4" ht="13.5">
      <c r="B3" s="461" t="s">
        <v>171</v>
      </c>
      <c r="C3" s="462"/>
      <c r="D3" s="463"/>
    </row>
    <row r="4" spans="4:39" s="199" customFormat="1" ht="13.5" thickBot="1">
      <c r="D4" s="440" t="s">
        <v>249</v>
      </c>
      <c r="E4" s="205"/>
      <c r="F4" s="205"/>
      <c r="G4" s="205"/>
      <c r="H4" s="205"/>
      <c r="I4" s="205"/>
      <c r="J4" s="205"/>
      <c r="K4" s="269"/>
      <c r="L4" s="269"/>
      <c r="M4" s="269"/>
      <c r="N4" s="269"/>
      <c r="O4" s="269"/>
      <c r="P4" s="269"/>
      <c r="Q4" s="269"/>
      <c r="R4" s="269"/>
      <c r="S4" s="269"/>
      <c r="T4" s="269"/>
      <c r="U4" s="269"/>
      <c r="V4" s="269"/>
      <c r="W4" s="269"/>
      <c r="X4" s="269"/>
      <c r="Z4" s="270"/>
      <c r="AA4" s="270"/>
      <c r="AB4" s="270"/>
      <c r="AC4" s="270"/>
      <c r="AD4" s="270"/>
      <c r="AE4" s="270"/>
      <c r="AF4" s="270"/>
      <c r="AG4" s="270"/>
      <c r="AH4" s="270"/>
      <c r="AI4" s="270"/>
      <c r="AJ4" s="270"/>
      <c r="AK4" s="270"/>
      <c r="AL4" s="270"/>
      <c r="AM4" s="270"/>
    </row>
    <row r="5" spans="1:65" s="28" customFormat="1" ht="16.5" thickTop="1">
      <c r="A5" s="2"/>
      <c r="B5" s="338" t="str">
        <f>CONCATENATE("MMO ADANA ŞUBE-",KOD!M3)</f>
        <v>MMO ADANA ŞUBE-2024</v>
      </c>
      <c r="C5" s="339"/>
      <c r="D5" s="340"/>
      <c r="E5" s="38"/>
      <c r="J5" s="30"/>
      <c r="K5" s="29"/>
      <c r="L5" s="29"/>
      <c r="M5" s="29"/>
      <c r="N5" s="29"/>
      <c r="O5" s="29"/>
      <c r="P5" s="29"/>
      <c r="Q5" s="29"/>
      <c r="R5" s="29"/>
      <c r="S5" s="29"/>
      <c r="W5" s="29"/>
      <c r="X5" s="29"/>
      <c r="Y5" s="29"/>
      <c r="Z5" s="29"/>
      <c r="AA5" s="29"/>
      <c r="AB5" s="29"/>
      <c r="AC5" s="31"/>
      <c r="AD5" s="31"/>
      <c r="AE5" s="31"/>
      <c r="AF5" s="31"/>
      <c r="AG5" s="31"/>
      <c r="AH5" s="31"/>
      <c r="AI5" s="31"/>
      <c r="AJ5" s="31"/>
      <c r="AK5" s="31"/>
      <c r="AL5" s="31"/>
      <c r="AM5" s="31"/>
      <c r="AY5" s="30"/>
      <c r="AZ5" s="32"/>
      <c r="BA5" s="32"/>
      <c r="BB5" s="32"/>
      <c r="BC5" s="32"/>
      <c r="BD5" s="32"/>
      <c r="BE5" s="30"/>
      <c r="BF5" s="30"/>
      <c r="BG5" s="30"/>
      <c r="BH5" s="30"/>
      <c r="BI5" s="30"/>
      <c r="BJ5" s="30"/>
      <c r="BK5" s="30"/>
      <c r="BL5" s="30"/>
      <c r="BM5" s="30"/>
    </row>
    <row r="6" spans="2:65" ht="32.25" thickBot="1">
      <c r="B6" s="341" t="s">
        <v>177</v>
      </c>
      <c r="C6" s="473" t="str">
        <f>CONCATENATE(KOD!M3," Yılı")</f>
        <v>2024 Yılı</v>
      </c>
      <c r="D6" s="474"/>
      <c r="E6" s="192"/>
      <c r="AA6" s="31"/>
      <c r="AB6" s="31"/>
      <c r="AC6" s="31"/>
      <c r="AD6" s="41"/>
      <c r="AE6" s="41"/>
      <c r="AY6" s="3"/>
      <c r="AZ6" s="3"/>
      <c r="BA6" s="3"/>
      <c r="BB6" s="3"/>
      <c r="BC6" s="3"/>
      <c r="BD6" s="3"/>
      <c r="BE6" s="3"/>
      <c r="BF6" s="3"/>
      <c r="BG6" s="3"/>
      <c r="BH6" s="3"/>
      <c r="BI6" s="3"/>
      <c r="BJ6" s="3"/>
      <c r="BK6" s="3"/>
      <c r="BL6" s="3"/>
      <c r="BM6" s="3"/>
    </row>
    <row r="7" spans="2:65" s="199" customFormat="1" ht="9.75" thickBot="1" thickTop="1">
      <c r="B7" s="271"/>
      <c r="C7" s="207"/>
      <c r="D7" s="207"/>
      <c r="E7" s="197"/>
      <c r="F7" s="39"/>
      <c r="G7" s="39"/>
      <c r="H7" s="39"/>
      <c r="I7" s="39"/>
      <c r="J7" s="39"/>
      <c r="K7" s="29"/>
      <c r="AA7" s="200"/>
      <c r="AB7" s="200"/>
      <c r="AC7" s="270"/>
      <c r="AD7" s="272"/>
      <c r="AE7" s="272"/>
      <c r="AF7" s="273"/>
      <c r="AG7" s="273"/>
      <c r="AH7" s="273"/>
      <c r="AI7" s="273"/>
      <c r="AJ7" s="200"/>
      <c r="AK7" s="200"/>
      <c r="AL7" s="200"/>
      <c r="AM7" s="200"/>
      <c r="AN7" s="200"/>
      <c r="AO7" s="200"/>
      <c r="AP7" s="200"/>
      <c r="AQ7" s="200"/>
      <c r="AR7" s="274"/>
      <c r="AS7" s="274"/>
      <c r="AT7" s="274"/>
      <c r="AU7" s="274"/>
      <c r="AY7" s="273"/>
      <c r="AZ7" s="273"/>
      <c r="BA7" s="273"/>
      <c r="BB7" s="273"/>
      <c r="BC7" s="273"/>
      <c r="BD7" s="273"/>
      <c r="BE7" s="273"/>
      <c r="BF7" s="273"/>
      <c r="BG7" s="273"/>
      <c r="BH7" s="273"/>
      <c r="BI7" s="273"/>
      <c r="BJ7" s="273"/>
      <c r="BK7" s="273"/>
      <c r="BL7" s="273"/>
      <c r="BM7" s="273"/>
    </row>
    <row r="8" spans="2:65" ht="14.25" thickBot="1">
      <c r="B8" s="320" t="s">
        <v>174</v>
      </c>
      <c r="C8" s="323">
        <v>250</v>
      </c>
      <c r="D8" s="324" t="s">
        <v>176</v>
      </c>
      <c r="E8" s="192"/>
      <c r="F8" s="465" t="s">
        <v>52</v>
      </c>
      <c r="G8" s="465"/>
      <c r="H8" s="465"/>
      <c r="I8" s="465"/>
      <c r="J8" s="465"/>
      <c r="K8" s="438"/>
      <c r="AA8" s="31"/>
      <c r="AB8" s="31"/>
      <c r="AC8" s="31"/>
      <c r="AD8" s="41"/>
      <c r="AE8" s="41"/>
      <c r="AF8" s="3"/>
      <c r="AG8" s="3"/>
      <c r="AH8" s="3"/>
      <c r="AI8" s="3"/>
      <c r="AM8" s="8"/>
      <c r="AO8" s="9"/>
      <c r="AP8" s="9"/>
      <c r="AQ8" s="9"/>
      <c r="AR8" s="9"/>
      <c r="AS8" s="9"/>
      <c r="AT8" s="9"/>
      <c r="AU8" s="9"/>
      <c r="AY8" s="3"/>
      <c r="AZ8" s="3"/>
      <c r="BA8" s="3"/>
      <c r="BB8" s="3"/>
      <c r="BC8" s="3"/>
      <c r="BD8" s="3"/>
      <c r="BE8" s="3"/>
      <c r="BF8" s="3"/>
      <c r="BG8" s="3"/>
      <c r="BH8" s="3"/>
      <c r="BI8" s="3"/>
      <c r="BJ8" s="3"/>
      <c r="BK8" s="3"/>
      <c r="BL8" s="3"/>
      <c r="BM8" s="3"/>
    </row>
    <row r="9" spans="2:65" ht="14.25" thickTop="1">
      <c r="B9" s="321" t="s">
        <v>175</v>
      </c>
      <c r="C9" s="325">
        <v>1</v>
      </c>
      <c r="D9" s="326"/>
      <c r="E9" s="192"/>
      <c r="F9" s="432">
        <v>1</v>
      </c>
      <c r="G9" s="423">
        <v>2</v>
      </c>
      <c r="H9" s="424" t="s">
        <v>29</v>
      </c>
      <c r="I9" s="425" t="s">
        <v>31</v>
      </c>
      <c r="J9" s="433" t="s">
        <v>34</v>
      </c>
      <c r="K9" s="29"/>
      <c r="AA9" s="29"/>
      <c r="AB9" s="29"/>
      <c r="AC9" s="31"/>
      <c r="AD9" s="41"/>
      <c r="AE9" s="41"/>
      <c r="AF9" s="10"/>
      <c r="AG9" s="10"/>
      <c r="AH9" s="10"/>
      <c r="AI9" s="10"/>
      <c r="AK9" s="11"/>
      <c r="AL9" s="12"/>
      <c r="AM9" s="13"/>
      <c r="AO9" s="14"/>
      <c r="AP9" s="14"/>
      <c r="AQ9" s="9"/>
      <c r="AR9" s="9"/>
      <c r="AS9" s="9"/>
      <c r="AT9" s="9"/>
      <c r="AU9" s="9"/>
      <c r="AY9" s="3"/>
      <c r="AZ9" s="3"/>
      <c r="BA9" s="3"/>
      <c r="BB9" s="3"/>
      <c r="BC9" s="3"/>
      <c r="BD9" s="3"/>
      <c r="BE9" s="3"/>
      <c r="BF9" s="3"/>
      <c r="BG9" s="3"/>
      <c r="BH9" s="3"/>
      <c r="BI9" s="3"/>
      <c r="BJ9" s="3"/>
      <c r="BK9" s="3"/>
      <c r="BL9" s="3"/>
      <c r="BM9" s="3"/>
    </row>
    <row r="10" spans="2:65" ht="13.5">
      <c r="B10" s="334" t="s">
        <v>246</v>
      </c>
      <c r="C10" s="327"/>
      <c r="D10" s="326" t="s">
        <v>172</v>
      </c>
      <c r="E10" s="192"/>
      <c r="F10" s="434"/>
      <c r="G10" s="39"/>
      <c r="H10" s="5" t="s">
        <v>30</v>
      </c>
      <c r="I10" s="6" t="s">
        <v>32</v>
      </c>
      <c r="J10" s="435" t="s">
        <v>35</v>
      </c>
      <c r="AA10" s="29"/>
      <c r="AB10" s="29"/>
      <c r="AC10" s="31"/>
      <c r="AD10" s="41"/>
      <c r="AE10" s="41"/>
      <c r="AF10" s="3"/>
      <c r="AG10" s="3"/>
      <c r="AH10" s="10"/>
      <c r="AI10" s="10"/>
      <c r="AK10" s="11"/>
      <c r="AL10" s="17"/>
      <c r="AM10" s="13"/>
      <c r="AO10" s="14"/>
      <c r="AP10" s="14"/>
      <c r="AQ10" s="9"/>
      <c r="AR10" s="9"/>
      <c r="AS10" s="9"/>
      <c r="AT10" s="9"/>
      <c r="AU10" s="9"/>
      <c r="AY10" s="3"/>
      <c r="AZ10" s="3"/>
      <c r="BA10" s="3"/>
      <c r="BB10" s="3"/>
      <c r="BC10" s="3"/>
      <c r="BD10" s="3"/>
      <c r="BE10" s="3"/>
      <c r="BF10" s="3"/>
      <c r="BG10" s="3"/>
      <c r="BH10" s="3"/>
      <c r="BI10" s="3"/>
      <c r="BJ10" s="3"/>
      <c r="BK10" s="3"/>
      <c r="BL10" s="3"/>
      <c r="BM10" s="3"/>
    </row>
    <row r="11" spans="2:65" ht="13.5">
      <c r="B11" s="266" t="s">
        <v>173</v>
      </c>
      <c r="C11" s="332"/>
      <c r="D11" s="326" t="s">
        <v>172</v>
      </c>
      <c r="E11" s="192"/>
      <c r="F11" s="434"/>
      <c r="G11" s="39"/>
      <c r="H11" s="39"/>
      <c r="I11" s="6" t="s">
        <v>33</v>
      </c>
      <c r="J11" s="435" t="s">
        <v>36</v>
      </c>
      <c r="AA11" s="31"/>
      <c r="AB11" s="31"/>
      <c r="AC11" s="31"/>
      <c r="AD11" s="41"/>
      <c r="AE11" s="41"/>
      <c r="AF11" s="10"/>
      <c r="AG11" s="10"/>
      <c r="AH11" s="10"/>
      <c r="AI11" s="10"/>
      <c r="AK11" s="15"/>
      <c r="AL11" s="15"/>
      <c r="AM11" s="13"/>
      <c r="AO11" s="14"/>
      <c r="AP11" s="14"/>
      <c r="AQ11" s="9"/>
      <c r="AR11" s="9"/>
      <c r="AS11" s="9"/>
      <c r="AT11" s="9"/>
      <c r="AU11" s="9"/>
      <c r="AY11" s="3"/>
      <c r="AZ11" s="3"/>
      <c r="BA11" s="3"/>
      <c r="BB11" s="3"/>
      <c r="BC11" s="3"/>
      <c r="BD11" s="3"/>
      <c r="BE11" s="3"/>
      <c r="BF11" s="3"/>
      <c r="BG11" s="3"/>
      <c r="BH11" s="3"/>
      <c r="BI11" s="3"/>
      <c r="BJ11" s="3"/>
      <c r="BK11" s="3"/>
      <c r="BL11" s="3"/>
      <c r="BM11" s="3"/>
    </row>
    <row r="12" spans="2:65" ht="14.25" thickBot="1">
      <c r="B12" s="268" t="s">
        <v>247</v>
      </c>
      <c r="C12" s="333"/>
      <c r="D12" s="328"/>
      <c r="E12" s="192"/>
      <c r="F12" s="436"/>
      <c r="G12" s="40"/>
      <c r="H12" s="40"/>
      <c r="I12" s="40"/>
      <c r="J12" s="437" t="s">
        <v>37</v>
      </c>
      <c r="AA12" s="31"/>
      <c r="AB12" s="31"/>
      <c r="AC12" s="31"/>
      <c r="AD12" s="41"/>
      <c r="AE12" s="41"/>
      <c r="AF12" s="3"/>
      <c r="AG12" s="3"/>
      <c r="AH12" s="10"/>
      <c r="AI12" s="10"/>
      <c r="AK12" s="11"/>
      <c r="AL12" s="17"/>
      <c r="AM12" s="13"/>
      <c r="AO12" s="14"/>
      <c r="AP12" s="14"/>
      <c r="AQ12" s="9"/>
      <c r="AR12" s="9"/>
      <c r="AS12" s="9"/>
      <c r="AT12" s="9"/>
      <c r="AU12" s="9"/>
      <c r="AY12" s="3"/>
      <c r="AZ12" s="3"/>
      <c r="BA12" s="3"/>
      <c r="BB12" s="3"/>
      <c r="BC12" s="3"/>
      <c r="BD12" s="3"/>
      <c r="BE12" s="3"/>
      <c r="BF12" s="3"/>
      <c r="BG12" s="3"/>
      <c r="BH12" s="3"/>
      <c r="BI12" s="3"/>
      <c r="BJ12" s="3"/>
      <c r="BK12" s="3"/>
      <c r="BL12" s="3"/>
      <c r="BM12" s="3"/>
    </row>
    <row r="13" spans="2:47" s="199" customFormat="1" ht="9" thickBot="1">
      <c r="B13" s="198"/>
      <c r="D13" s="275" t="s">
        <v>133</v>
      </c>
      <c r="E13" s="197"/>
      <c r="F13" s="439"/>
      <c r="G13" s="439"/>
      <c r="H13" s="439"/>
      <c r="I13" s="200"/>
      <c r="J13" s="200"/>
      <c r="K13" s="200"/>
      <c r="S13" s="200"/>
      <c r="T13" s="200"/>
      <c r="U13" s="200"/>
      <c r="V13" s="200"/>
      <c r="W13" s="200"/>
      <c r="X13" s="200"/>
      <c r="AA13" s="270"/>
      <c r="AB13" s="270"/>
      <c r="AC13" s="270"/>
      <c r="AD13" s="272"/>
      <c r="AE13" s="272"/>
      <c r="AF13" s="273"/>
      <c r="AG13" s="273"/>
      <c r="AH13" s="276"/>
      <c r="AI13" s="276"/>
      <c r="AK13" s="201"/>
      <c r="AL13" s="277"/>
      <c r="AO13" s="278"/>
      <c r="AP13" s="278"/>
      <c r="AQ13" s="279"/>
      <c r="AR13" s="279"/>
      <c r="AS13" s="279"/>
      <c r="AT13" s="279"/>
      <c r="AU13" s="279"/>
    </row>
    <row r="14" spans="2:47" ht="14.25" thickBot="1">
      <c r="B14" s="204" t="s">
        <v>126</v>
      </c>
      <c r="C14" s="187">
        <f>IF(HESAP!C12="+",((KOD!Z144+KOD!Z154)/2),(KOD!Z144+KOD!Z154))</f>
        <v>235</v>
      </c>
      <c r="D14" s="188" t="s">
        <v>43</v>
      </c>
      <c r="E14" s="192"/>
      <c r="AA14" s="31"/>
      <c r="AB14" s="31"/>
      <c r="AC14" s="31"/>
      <c r="AD14" s="41"/>
      <c r="AE14" s="41"/>
      <c r="AF14" s="3"/>
      <c r="AG14" s="3"/>
      <c r="AH14" s="10"/>
      <c r="AI14" s="10"/>
      <c r="AK14" s="11"/>
      <c r="AL14" s="17"/>
      <c r="AM14" s="13"/>
      <c r="AO14" s="14"/>
      <c r="AP14" s="14"/>
      <c r="AQ14" s="9"/>
      <c r="AR14" s="9"/>
      <c r="AS14" s="9"/>
      <c r="AT14" s="9"/>
      <c r="AU14" s="9"/>
    </row>
    <row r="15" spans="2:47" s="342" customFormat="1" ht="6.75" thickBot="1">
      <c r="B15" s="343"/>
      <c r="C15" s="343"/>
      <c r="D15" s="344"/>
      <c r="E15" s="301"/>
      <c r="X15" s="263"/>
      <c r="Y15" s="265"/>
      <c r="Z15" s="265"/>
      <c r="AA15" s="280"/>
      <c r="AB15" s="280"/>
      <c r="AC15" s="280"/>
      <c r="AD15" s="281"/>
      <c r="AE15" s="281"/>
      <c r="AF15" s="282"/>
      <c r="AG15" s="345"/>
      <c r="AH15" s="345"/>
      <c r="AI15" s="345"/>
      <c r="AJ15" s="265"/>
      <c r="AL15" s="265"/>
      <c r="AM15" s="265"/>
      <c r="AN15" s="265"/>
      <c r="AO15" s="286"/>
      <c r="AP15" s="286"/>
      <c r="AQ15" s="285"/>
      <c r="AR15" s="285"/>
      <c r="AS15" s="285"/>
      <c r="AT15" s="285"/>
      <c r="AU15" s="285"/>
    </row>
    <row r="16" spans="2:47" ht="14.25" thickBot="1">
      <c r="B16" s="203" t="s">
        <v>151</v>
      </c>
      <c r="C16" s="189">
        <f>IF(C12="+",((KOD!Y123+KOD!Y133)/2),(KOD!Y123+KOD!Y133))</f>
        <v>5735.625</v>
      </c>
      <c r="D16" s="190" t="s">
        <v>43</v>
      </c>
      <c r="E16" s="192"/>
      <c r="AA16" s="31"/>
      <c r="AB16" s="31"/>
      <c r="AC16" s="31"/>
      <c r="AD16" s="41"/>
      <c r="AE16" s="41"/>
      <c r="AF16" s="3"/>
      <c r="AG16" s="3"/>
      <c r="AH16" s="10"/>
      <c r="AI16" s="10"/>
      <c r="AK16" s="11"/>
      <c r="AL16" s="11"/>
      <c r="AM16" s="13"/>
      <c r="AO16" s="9"/>
      <c r="AP16" s="9"/>
      <c r="AQ16" s="9"/>
      <c r="AR16" s="9"/>
      <c r="AS16" s="9"/>
      <c r="AT16" s="9"/>
      <c r="AU16" s="9"/>
    </row>
    <row r="17" spans="1:47" s="265" customFormat="1" ht="6">
      <c r="A17" s="263"/>
      <c r="B17" s="304"/>
      <c r="C17" s="305"/>
      <c r="D17" s="306"/>
      <c r="E17" s="263"/>
      <c r="F17" s="263"/>
      <c r="G17" s="263"/>
      <c r="H17" s="263"/>
      <c r="I17" s="263"/>
      <c r="J17" s="263"/>
      <c r="K17" s="263"/>
      <c r="L17" s="263"/>
      <c r="M17" s="263"/>
      <c r="N17" s="263"/>
      <c r="O17" s="263"/>
      <c r="P17" s="263"/>
      <c r="Q17" s="263"/>
      <c r="R17" s="263"/>
      <c r="S17" s="263"/>
      <c r="T17" s="263"/>
      <c r="U17" s="263"/>
      <c r="V17" s="263"/>
      <c r="W17" s="263"/>
      <c r="X17" s="263"/>
      <c r="AA17" s="280"/>
      <c r="AB17" s="280"/>
      <c r="AC17" s="280"/>
      <c r="AD17" s="281"/>
      <c r="AE17" s="281"/>
      <c r="AF17" s="282"/>
      <c r="AG17" s="282"/>
      <c r="AH17" s="283"/>
      <c r="AI17" s="283"/>
      <c r="AK17" s="284"/>
      <c r="AL17" s="284"/>
      <c r="AO17" s="285"/>
      <c r="AP17" s="285"/>
      <c r="AQ17" s="285"/>
      <c r="AR17" s="285"/>
      <c r="AS17" s="285"/>
      <c r="AT17" s="285"/>
      <c r="AU17" s="285"/>
    </row>
    <row r="18" spans="1:47" s="290" customFormat="1" ht="14.25">
      <c r="A18" s="287"/>
      <c r="B18" s="307"/>
      <c r="C18" s="25"/>
      <c r="D18" s="317" t="str">
        <f>CONCATENATE("+18 % KDV : ",TEXT((C16*0.18),"###.###,00")," TL")</f>
        <v>+18 % KDV : 1.032,41 TL</v>
      </c>
      <c r="E18" s="288"/>
      <c r="F18" s="1"/>
      <c r="G18" s="1"/>
      <c r="H18" s="25"/>
      <c r="I18" s="25"/>
      <c r="J18" s="25"/>
      <c r="K18" s="289"/>
      <c r="L18" s="289"/>
      <c r="M18" s="289"/>
      <c r="N18" s="289"/>
      <c r="O18" s="289"/>
      <c r="P18" s="289"/>
      <c r="Q18" s="289"/>
      <c r="R18" s="289"/>
      <c r="S18" s="289"/>
      <c r="T18" s="289"/>
      <c r="U18" s="289"/>
      <c r="V18" s="289"/>
      <c r="W18" s="289"/>
      <c r="X18" s="1"/>
      <c r="Y18" s="2"/>
      <c r="Z18" s="2"/>
      <c r="AA18" s="31"/>
      <c r="AB18" s="31"/>
      <c r="AC18" s="31"/>
      <c r="AD18" s="41"/>
      <c r="AE18" s="41"/>
      <c r="AF18" s="3"/>
      <c r="AG18" s="287"/>
      <c r="AH18" s="287"/>
      <c r="AI18" s="287"/>
      <c r="AO18" s="291"/>
      <c r="AP18" s="291"/>
      <c r="AQ18" s="292"/>
      <c r="AR18" s="292"/>
      <c r="AS18" s="292"/>
      <c r="AT18" s="292"/>
      <c r="AU18" s="292"/>
    </row>
    <row r="19" spans="1:47" s="290" customFormat="1" ht="14.25">
      <c r="A19" s="293"/>
      <c r="B19" s="308"/>
      <c r="C19" s="309"/>
      <c r="D19" s="316" t="str">
        <f>CONCATENATE("KDV Dahil FATURA: ",TEXT((C16*1.18),"###.###,00")," TL")</f>
        <v>KDV Dahil FATURA: 6.768,04 TL</v>
      </c>
      <c r="E19" s="288"/>
      <c r="F19" s="1"/>
      <c r="G19" s="1"/>
      <c r="H19" s="25"/>
      <c r="I19" s="25"/>
      <c r="J19" s="25"/>
      <c r="K19" s="289"/>
      <c r="L19" s="289"/>
      <c r="M19" s="289"/>
      <c r="N19" s="289"/>
      <c r="O19" s="289"/>
      <c r="P19" s="289"/>
      <c r="Q19" s="289"/>
      <c r="R19" s="289"/>
      <c r="S19" s="289"/>
      <c r="T19" s="289"/>
      <c r="U19" s="289"/>
      <c r="V19" s="289"/>
      <c r="W19" s="289"/>
      <c r="X19" s="1"/>
      <c r="Y19" s="2"/>
      <c r="Z19" s="2"/>
      <c r="AA19" s="31"/>
      <c r="AB19" s="31"/>
      <c r="AC19" s="31"/>
      <c r="AD19" s="41"/>
      <c r="AE19" s="41"/>
      <c r="AF19" s="3"/>
      <c r="AG19" s="287"/>
      <c r="AH19" s="287"/>
      <c r="AI19" s="287"/>
      <c r="AO19" s="291"/>
      <c r="AP19" s="291"/>
      <c r="AQ19" s="292"/>
      <c r="AR19" s="292"/>
      <c r="AS19" s="292"/>
      <c r="AT19" s="292"/>
      <c r="AU19" s="292"/>
    </row>
    <row r="20" spans="1:47" s="199" customFormat="1" ht="8.25" thickBot="1">
      <c r="A20" s="200"/>
      <c r="J20" s="200"/>
      <c r="K20" s="272"/>
      <c r="L20" s="272"/>
      <c r="M20" s="272"/>
      <c r="N20" s="272"/>
      <c r="O20" s="272"/>
      <c r="P20" s="272"/>
      <c r="Q20" s="272"/>
      <c r="R20" s="273"/>
      <c r="S20" s="318"/>
      <c r="T20" s="319"/>
      <c r="U20" s="319"/>
      <c r="V20" s="319"/>
      <c r="W20" s="319"/>
      <c r="X20" s="200"/>
      <c r="AA20" s="270"/>
      <c r="AB20" s="270"/>
      <c r="AC20" s="270"/>
      <c r="AD20" s="272"/>
      <c r="AE20" s="272"/>
      <c r="AF20" s="273"/>
      <c r="AG20" s="273"/>
      <c r="AH20" s="273"/>
      <c r="AI20" s="273"/>
      <c r="AO20" s="278"/>
      <c r="AP20" s="278"/>
      <c r="AQ20" s="279"/>
      <c r="AR20" s="279"/>
      <c r="AS20" s="279"/>
      <c r="AT20" s="279"/>
      <c r="AU20" s="279"/>
    </row>
    <row r="21" spans="1:47" ht="14.25" thickBot="1">
      <c r="A21" s="258" t="s">
        <v>155</v>
      </c>
      <c r="B21" s="211" t="s">
        <v>128</v>
      </c>
      <c r="C21" s="191">
        <f>C16*2</f>
        <v>11471.25</v>
      </c>
      <c r="D21" s="226" t="s">
        <v>43</v>
      </c>
      <c r="Y21" s="1"/>
      <c r="Z21" s="1"/>
      <c r="AA21" s="1"/>
      <c r="AB21" s="1"/>
      <c r="AC21" s="1"/>
      <c r="AD21" s="1"/>
      <c r="AE21" s="3"/>
      <c r="AF21" s="3"/>
      <c r="AG21" s="3"/>
      <c r="AH21" s="3"/>
      <c r="AI21" s="3"/>
      <c r="AM21" s="13"/>
      <c r="AO21" s="14"/>
      <c r="AP21" s="14"/>
      <c r="AQ21" s="9"/>
      <c r="AR21" s="9"/>
      <c r="AS21" s="9"/>
      <c r="AT21" s="9"/>
      <c r="AU21" s="9"/>
    </row>
    <row r="22" spans="1:30" s="28" customFormat="1" ht="13.5">
      <c r="A22" s="258">
        <v>7</v>
      </c>
      <c r="B22" s="193" t="s">
        <v>119</v>
      </c>
      <c r="C22" s="195">
        <f aca="true" t="shared" si="0" ref="C22:C27">$C$21*(A22/100)</f>
        <v>802.9875000000001</v>
      </c>
      <c r="D22" s="222" t="s">
        <v>43</v>
      </c>
      <c r="K22" s="29"/>
      <c r="L22" s="1"/>
      <c r="M22" s="1"/>
      <c r="N22" s="1"/>
      <c r="O22" s="29"/>
      <c r="P22" s="29"/>
      <c r="Q22" s="29"/>
      <c r="R22" s="29"/>
      <c r="S22" s="29"/>
      <c r="T22" s="29"/>
      <c r="U22" s="29"/>
      <c r="V22" s="29"/>
      <c r="W22" s="29"/>
      <c r="X22" s="29"/>
      <c r="Y22" s="29"/>
      <c r="Z22" s="29"/>
      <c r="AA22" s="29"/>
      <c r="AB22" s="29"/>
      <c r="AC22" s="29"/>
      <c r="AD22" s="29"/>
    </row>
    <row r="23" spans="1:30" s="28" customFormat="1" ht="13.5">
      <c r="A23" s="258">
        <v>18</v>
      </c>
      <c r="B23" s="193" t="s">
        <v>120</v>
      </c>
      <c r="C23" s="195">
        <f t="shared" si="0"/>
        <v>2064.825</v>
      </c>
      <c r="D23" s="223" t="s">
        <v>43</v>
      </c>
      <c r="K23" s="29"/>
      <c r="L23" s="1"/>
      <c r="M23" s="1"/>
      <c r="N23" s="1"/>
      <c r="O23" s="29"/>
      <c r="P23" s="29"/>
      <c r="Q23" s="29"/>
      <c r="R23" s="29"/>
      <c r="S23" s="29"/>
      <c r="T23" s="29"/>
      <c r="U23" s="29"/>
      <c r="V23" s="29"/>
      <c r="W23" s="29"/>
      <c r="X23" s="29"/>
      <c r="Y23" s="29"/>
      <c r="Z23" s="29"/>
      <c r="AA23" s="29"/>
      <c r="AB23" s="29"/>
      <c r="AC23" s="29"/>
      <c r="AD23" s="29"/>
    </row>
    <row r="24" spans="1:39" ht="13.5">
      <c r="A24" s="258">
        <v>50</v>
      </c>
      <c r="B24" s="231" t="s">
        <v>121</v>
      </c>
      <c r="C24" s="229">
        <f t="shared" si="0"/>
        <v>5735.625</v>
      </c>
      <c r="D24" s="230" t="s">
        <v>43</v>
      </c>
      <c r="O24" s="192"/>
      <c r="P24" s="38"/>
      <c r="Y24" s="1"/>
      <c r="Z24" s="1"/>
      <c r="AA24" s="1"/>
      <c r="AB24" s="1"/>
      <c r="AC24" s="1"/>
      <c r="AD24" s="1"/>
      <c r="AE24" s="20"/>
      <c r="AF24" s="20"/>
      <c r="AG24" s="20"/>
      <c r="AM24" s="13"/>
    </row>
    <row r="25" spans="1:39" ht="13.5">
      <c r="A25" s="258">
        <v>10</v>
      </c>
      <c r="B25" s="193" t="s">
        <v>122</v>
      </c>
      <c r="C25" s="195">
        <f t="shared" si="0"/>
        <v>1147.125</v>
      </c>
      <c r="D25" s="223" t="s">
        <v>43</v>
      </c>
      <c r="O25" s="4"/>
      <c r="P25" s="192"/>
      <c r="Y25" s="1"/>
      <c r="Z25" s="1"/>
      <c r="AA25" s="1"/>
      <c r="AB25" s="1"/>
      <c r="AC25" s="1"/>
      <c r="AD25" s="1"/>
      <c r="AE25" s="21"/>
      <c r="AF25" s="22"/>
      <c r="AG25" s="22"/>
      <c r="AM25" s="13"/>
    </row>
    <row r="26" spans="1:39" ht="13.5">
      <c r="A26" s="258">
        <v>5</v>
      </c>
      <c r="B26" s="193" t="s">
        <v>123</v>
      </c>
      <c r="C26" s="195">
        <f t="shared" si="0"/>
        <v>573.5625</v>
      </c>
      <c r="D26" s="223" t="s">
        <v>43</v>
      </c>
      <c r="O26" s="4"/>
      <c r="P26" s="192"/>
      <c r="Y26" s="1"/>
      <c r="Z26" s="1"/>
      <c r="AA26" s="1"/>
      <c r="AB26" s="1"/>
      <c r="AC26" s="1"/>
      <c r="AD26" s="1"/>
      <c r="AE26" s="19"/>
      <c r="AF26" s="19"/>
      <c r="AK26" s="23"/>
      <c r="AL26" s="23"/>
      <c r="AM26" s="13"/>
    </row>
    <row r="27" spans="1:39" ht="14.25" thickBot="1">
      <c r="A27" s="258">
        <v>10</v>
      </c>
      <c r="B27" s="194" t="s">
        <v>124</v>
      </c>
      <c r="C27" s="196">
        <f t="shared" si="0"/>
        <v>1147.125</v>
      </c>
      <c r="D27" s="224" t="s">
        <v>43</v>
      </c>
      <c r="O27" s="4"/>
      <c r="P27" s="192"/>
      <c r="Y27" s="1"/>
      <c r="Z27" s="1"/>
      <c r="AA27" s="1"/>
      <c r="AB27" s="1"/>
      <c r="AC27" s="1"/>
      <c r="AD27" s="1"/>
      <c r="AE27" s="24"/>
      <c r="AF27" s="24"/>
      <c r="AG27" s="24"/>
      <c r="AM27" s="13"/>
    </row>
    <row r="28" spans="4:33" s="199" customFormat="1" ht="9" thickBot="1">
      <c r="D28" s="225"/>
      <c r="E28" s="200"/>
      <c r="F28" s="200"/>
      <c r="G28" s="200"/>
      <c r="H28" s="200"/>
      <c r="I28" s="200"/>
      <c r="J28" s="200"/>
      <c r="K28" s="200"/>
      <c r="L28" s="197"/>
      <c r="M28" s="200"/>
      <c r="N28" s="200"/>
      <c r="O28" s="207"/>
      <c r="P28" s="197"/>
      <c r="Q28" s="200"/>
      <c r="R28" s="200"/>
      <c r="S28" s="200"/>
      <c r="T28" s="200"/>
      <c r="U28" s="200"/>
      <c r="V28" s="200"/>
      <c r="W28" s="200"/>
      <c r="X28" s="200"/>
      <c r="Y28" s="200"/>
      <c r="Z28" s="200"/>
      <c r="AA28" s="200"/>
      <c r="AB28" s="200"/>
      <c r="AC28" s="200"/>
      <c r="AD28" s="200"/>
      <c r="AE28" s="208"/>
      <c r="AF28" s="208"/>
      <c r="AG28" s="208"/>
    </row>
    <row r="29" spans="2:33" s="210" customFormat="1" ht="21" thickBot="1" thickTop="1">
      <c r="B29" s="472" t="s">
        <v>133</v>
      </c>
      <c r="C29" s="464"/>
      <c r="D29" s="464"/>
      <c r="E29" s="294"/>
      <c r="F29" s="294"/>
      <c r="G29" s="294"/>
      <c r="H29" s="294"/>
      <c r="I29" s="294"/>
      <c r="J29" s="294"/>
      <c r="K29" s="294"/>
      <c r="L29" s="295"/>
      <c r="M29" s="294"/>
      <c r="N29" s="294"/>
      <c r="O29" s="296"/>
      <c r="P29" s="295"/>
      <c r="Q29" s="294"/>
      <c r="R29" s="294"/>
      <c r="S29" s="294"/>
      <c r="T29" s="294"/>
      <c r="U29" s="294"/>
      <c r="V29" s="294"/>
      <c r="W29" s="294"/>
      <c r="X29" s="294"/>
      <c r="Y29" s="294"/>
      <c r="Z29" s="294"/>
      <c r="AA29" s="294"/>
      <c r="AB29" s="294"/>
      <c r="AC29" s="294"/>
      <c r="AD29" s="294"/>
      <c r="AE29" s="297"/>
      <c r="AF29" s="297"/>
      <c r="AG29" s="297"/>
    </row>
    <row r="30" spans="5:33" s="199" customFormat="1" ht="9" thickTop="1">
      <c r="E30" s="200"/>
      <c r="F30" s="200"/>
      <c r="G30" s="200"/>
      <c r="H30" s="200"/>
      <c r="I30" s="200"/>
      <c r="J30" s="200"/>
      <c r="K30" s="200"/>
      <c r="L30" s="197"/>
      <c r="M30" s="200"/>
      <c r="N30" s="200"/>
      <c r="O30" s="207"/>
      <c r="P30" s="197"/>
      <c r="Q30" s="200"/>
      <c r="R30" s="200"/>
      <c r="S30" s="200"/>
      <c r="T30" s="200"/>
      <c r="U30" s="200"/>
      <c r="V30" s="200"/>
      <c r="W30" s="200"/>
      <c r="X30" s="200"/>
      <c r="Y30" s="200"/>
      <c r="Z30" s="200"/>
      <c r="AA30" s="200"/>
      <c r="AB30" s="200"/>
      <c r="AC30" s="200"/>
      <c r="AD30" s="200"/>
      <c r="AE30" s="208"/>
      <c r="AF30" s="208"/>
      <c r="AG30" s="208"/>
    </row>
    <row r="31" spans="1:39" ht="25.5">
      <c r="A31" s="210"/>
      <c r="B31" s="267" t="s">
        <v>96</v>
      </c>
      <c r="C31" s="468" t="str">
        <f>CONCATENATE(KOD!M3," Yılı")</f>
        <v>2024 Yılı</v>
      </c>
      <c r="D31" s="468"/>
      <c r="K31" s="16"/>
      <c r="L31" s="192"/>
      <c r="O31" s="4"/>
      <c r="P31" s="192"/>
      <c r="Q31" s="16"/>
      <c r="R31" s="16"/>
      <c r="S31" s="16"/>
      <c r="T31" s="16"/>
      <c r="U31" s="16"/>
      <c r="V31" s="16"/>
      <c r="W31" s="16"/>
      <c r="X31" s="16"/>
      <c r="Y31" s="16"/>
      <c r="Z31" s="16"/>
      <c r="AA31" s="16"/>
      <c r="AB31" s="16"/>
      <c r="AC31" s="16"/>
      <c r="AD31" s="16"/>
      <c r="AE31" s="26"/>
      <c r="AF31" s="26"/>
      <c r="AG31" s="26"/>
      <c r="AM31" s="13"/>
    </row>
    <row r="32" spans="2:33" s="199" customFormat="1" ht="9" thickBot="1">
      <c r="B32" s="200"/>
      <c r="C32" s="200"/>
      <c r="D32" s="200"/>
      <c r="E32" s="200"/>
      <c r="F32" s="200"/>
      <c r="G32" s="200"/>
      <c r="H32" s="200"/>
      <c r="I32" s="200"/>
      <c r="J32" s="200"/>
      <c r="K32" s="205"/>
      <c r="L32" s="197"/>
      <c r="M32" s="200"/>
      <c r="N32" s="200"/>
      <c r="O32" s="207"/>
      <c r="P32" s="197"/>
      <c r="Q32" s="205"/>
      <c r="R32" s="205"/>
      <c r="S32" s="205"/>
      <c r="T32" s="205"/>
      <c r="U32" s="205"/>
      <c r="V32" s="205"/>
      <c r="W32" s="205"/>
      <c r="X32" s="205"/>
      <c r="Y32" s="205"/>
      <c r="Z32" s="205"/>
      <c r="AA32" s="205"/>
      <c r="AB32" s="205"/>
      <c r="AC32" s="205"/>
      <c r="AD32" s="205"/>
      <c r="AE32" s="201"/>
      <c r="AF32" s="201"/>
      <c r="AG32" s="201"/>
    </row>
    <row r="33" spans="2:39" ht="15" thickBot="1">
      <c r="B33" s="329" t="s">
        <v>134</v>
      </c>
      <c r="C33" s="330">
        <v>400</v>
      </c>
      <c r="D33" s="331" t="s">
        <v>176</v>
      </c>
      <c r="J33" s="16"/>
      <c r="K33" s="16"/>
      <c r="L33" s="192"/>
      <c r="M33" s="7"/>
      <c r="N33" s="7"/>
      <c r="O33" s="7"/>
      <c r="P33" s="192"/>
      <c r="Q33" s="16"/>
      <c r="R33" s="16"/>
      <c r="S33" s="16"/>
      <c r="T33" s="16"/>
      <c r="U33" s="16"/>
      <c r="V33" s="16"/>
      <c r="W33" s="16"/>
      <c r="X33" s="16"/>
      <c r="Y33" s="16"/>
      <c r="Z33" s="16"/>
      <c r="AA33" s="16"/>
      <c r="AB33" s="16"/>
      <c r="AC33" s="16"/>
      <c r="AD33" s="16"/>
      <c r="AE33" s="27"/>
      <c r="AF33" s="27"/>
      <c r="AG33" s="27"/>
      <c r="AM33" s="13"/>
    </row>
    <row r="34" spans="1:33" s="199" customFormat="1" ht="9" thickBot="1">
      <c r="A34" s="200"/>
      <c r="B34" s="200"/>
      <c r="C34" s="200"/>
      <c r="D34" s="275" t="s">
        <v>133</v>
      </c>
      <c r="E34" s="200"/>
      <c r="F34" s="200"/>
      <c r="G34" s="200"/>
      <c r="H34" s="200"/>
      <c r="I34" s="200"/>
      <c r="J34" s="205"/>
      <c r="K34" s="205"/>
      <c r="L34" s="197"/>
      <c r="M34" s="198"/>
      <c r="N34" s="198"/>
      <c r="O34" s="198"/>
      <c r="P34" s="197"/>
      <c r="Q34" s="205"/>
      <c r="R34" s="205"/>
      <c r="S34" s="205"/>
      <c r="T34" s="205"/>
      <c r="U34" s="205"/>
      <c r="V34" s="205"/>
      <c r="W34" s="205"/>
      <c r="X34" s="205"/>
      <c r="Y34" s="205"/>
      <c r="Z34" s="205"/>
      <c r="AA34" s="205"/>
      <c r="AB34" s="205"/>
      <c r="AC34" s="205"/>
      <c r="AD34" s="205"/>
      <c r="AE34" s="206"/>
      <c r="AF34" s="206"/>
      <c r="AG34" s="206"/>
    </row>
    <row r="35" spans="2:30" s="28" customFormat="1" ht="13.5" thickBot="1">
      <c r="B35" s="202" t="s">
        <v>126</v>
      </c>
      <c r="C35" s="187">
        <f>IF(C33=0,"",KOD!Q178)</f>
        <v>150</v>
      </c>
      <c r="D35" s="188" t="s">
        <v>43</v>
      </c>
      <c r="F35" s="29"/>
      <c r="G35" s="29"/>
      <c r="H35" s="29"/>
      <c r="I35" s="29"/>
      <c r="J35" s="33"/>
      <c r="K35" s="33"/>
      <c r="L35" s="192"/>
      <c r="P35" s="192"/>
      <c r="Q35" s="33"/>
      <c r="R35" s="33"/>
      <c r="S35" s="33"/>
      <c r="T35" s="33"/>
      <c r="U35" s="33"/>
      <c r="V35" s="33"/>
      <c r="W35" s="33"/>
      <c r="X35" s="33"/>
      <c r="Y35" s="33"/>
      <c r="Z35" s="33"/>
      <c r="AA35" s="33"/>
      <c r="AB35" s="33"/>
      <c r="AC35" s="33"/>
      <c r="AD35" s="33"/>
    </row>
    <row r="36" spans="1:30" s="265" customFormat="1" ht="6.75" thickBot="1">
      <c r="A36" s="263"/>
      <c r="B36" s="263"/>
      <c r="C36" s="263"/>
      <c r="D36" s="263"/>
      <c r="E36" s="263"/>
      <c r="F36" s="263"/>
      <c r="G36" s="263"/>
      <c r="H36" s="263"/>
      <c r="I36" s="263"/>
      <c r="J36" s="300"/>
      <c r="K36" s="300"/>
      <c r="L36" s="301"/>
      <c r="P36" s="301"/>
      <c r="Q36" s="300"/>
      <c r="R36" s="300"/>
      <c r="S36" s="300"/>
      <c r="T36" s="300"/>
      <c r="U36" s="300"/>
      <c r="V36" s="300"/>
      <c r="W36" s="300"/>
      <c r="X36" s="300"/>
      <c r="Y36" s="300"/>
      <c r="Z36" s="300"/>
      <c r="AA36" s="300"/>
      <c r="AB36" s="300"/>
      <c r="AC36" s="300"/>
      <c r="AD36" s="300"/>
    </row>
    <row r="37" spans="2:39" ht="15" thickBot="1">
      <c r="B37" s="203" t="s">
        <v>125</v>
      </c>
      <c r="C37" s="189">
        <f>KOD!Q168</f>
        <v>4664</v>
      </c>
      <c r="D37" s="190" t="s">
        <v>43</v>
      </c>
      <c r="F37" s="18"/>
      <c r="G37" s="18"/>
      <c r="I37" s="18"/>
      <c r="J37" s="16"/>
      <c r="K37" s="16"/>
      <c r="L37" s="192"/>
      <c r="M37" s="2"/>
      <c r="N37" s="2"/>
      <c r="O37" s="2"/>
      <c r="P37" s="192"/>
      <c r="Q37" s="16"/>
      <c r="R37" s="16"/>
      <c r="S37" s="16"/>
      <c r="T37" s="16"/>
      <c r="U37" s="16"/>
      <c r="V37" s="16"/>
      <c r="W37" s="16"/>
      <c r="X37" s="16"/>
      <c r="Y37" s="16"/>
      <c r="Z37" s="16"/>
      <c r="AA37" s="16"/>
      <c r="AB37" s="16"/>
      <c r="AC37" s="16"/>
      <c r="AD37" s="16"/>
      <c r="AE37" s="21"/>
      <c r="AF37" s="22"/>
      <c r="AG37" s="22"/>
      <c r="AM37" s="13"/>
    </row>
    <row r="38" spans="1:33" s="265" customFormat="1" ht="6">
      <c r="A38" s="299"/>
      <c r="B38" s="310"/>
      <c r="C38" s="311"/>
      <c r="D38" s="312"/>
      <c r="E38" s="299"/>
      <c r="F38" s="299"/>
      <c r="G38" s="299"/>
      <c r="H38" s="263"/>
      <c r="I38" s="299"/>
      <c r="J38" s="300"/>
      <c r="K38" s="300"/>
      <c r="L38" s="301"/>
      <c r="P38" s="301"/>
      <c r="Q38" s="300"/>
      <c r="R38" s="300"/>
      <c r="S38" s="300"/>
      <c r="T38" s="300"/>
      <c r="U38" s="300"/>
      <c r="V38" s="300"/>
      <c r="W38" s="300"/>
      <c r="X38" s="300"/>
      <c r="Y38" s="300"/>
      <c r="Z38" s="300"/>
      <c r="AA38" s="300"/>
      <c r="AB38" s="300"/>
      <c r="AC38" s="300"/>
      <c r="AD38" s="300"/>
      <c r="AE38" s="302"/>
      <c r="AF38" s="303"/>
      <c r="AG38" s="303"/>
    </row>
    <row r="39" spans="2:30" ht="13.5">
      <c r="B39" s="313"/>
      <c r="D39" s="317" t="str">
        <f>CONCATENATE("+18 % KDV : ",TEXT((C37*0.18),"###.###,00")," TL")</f>
        <v>+18 % KDV : 839,52 TL</v>
      </c>
      <c r="F39" s="2"/>
      <c r="G39" s="2"/>
      <c r="H39" s="3"/>
      <c r="I39" s="3"/>
      <c r="J39" s="3"/>
      <c r="K39" s="3"/>
      <c r="L39" s="3"/>
      <c r="M39" s="3"/>
      <c r="N39" s="3"/>
      <c r="O39" s="3"/>
      <c r="P39" s="3"/>
      <c r="Q39" s="3"/>
      <c r="R39" s="3"/>
      <c r="S39" s="3"/>
      <c r="T39" s="3"/>
      <c r="U39" s="3"/>
      <c r="V39" s="3"/>
      <c r="W39" s="3"/>
      <c r="X39" s="3"/>
      <c r="Y39" s="3"/>
      <c r="Z39" s="3"/>
      <c r="AA39" s="3"/>
      <c r="AB39" s="3"/>
      <c r="AC39" s="3"/>
      <c r="AD39" s="3"/>
    </row>
    <row r="40" spans="2:29" ht="13.5">
      <c r="B40" s="314"/>
      <c r="C40" s="315"/>
      <c r="D40" s="316" t="str">
        <f>CONCATENATE("KDV Dahil FATURA: ",TEXT((C37*1.18),"###.###,00")," TL")</f>
        <v>KDV Dahil FATURA: 5.503,52 TL</v>
      </c>
      <c r="F40" s="2"/>
      <c r="G40" s="2"/>
      <c r="H40" s="3"/>
      <c r="I40" s="3"/>
      <c r="J40" s="3"/>
      <c r="K40" s="3"/>
      <c r="L40" s="3"/>
      <c r="M40" s="3"/>
      <c r="N40" s="3"/>
      <c r="O40" s="3"/>
      <c r="P40" s="3"/>
      <c r="Q40" s="3"/>
      <c r="R40" s="3"/>
      <c r="S40" s="3"/>
      <c r="T40" s="3"/>
      <c r="U40" s="3"/>
      <c r="V40" s="3"/>
      <c r="W40" s="3"/>
      <c r="X40" s="3"/>
      <c r="Y40" s="3"/>
      <c r="Z40" s="3"/>
      <c r="AA40" s="3"/>
      <c r="AB40" s="3"/>
      <c r="AC40" s="3"/>
    </row>
    <row r="41" spans="5:33" s="199" customFormat="1" ht="9" thickBot="1">
      <c r="E41" s="200"/>
      <c r="F41" s="200"/>
      <c r="G41" s="200"/>
      <c r="H41" s="200"/>
      <c r="I41" s="200"/>
      <c r="J41" s="200"/>
      <c r="K41" s="200"/>
      <c r="L41" s="197"/>
      <c r="M41" s="200"/>
      <c r="N41" s="200"/>
      <c r="O41" s="207"/>
      <c r="P41" s="197"/>
      <c r="Q41" s="200"/>
      <c r="R41" s="200"/>
      <c r="S41" s="200"/>
      <c r="T41" s="200"/>
      <c r="U41" s="200"/>
      <c r="V41" s="200"/>
      <c r="W41" s="200"/>
      <c r="X41" s="200"/>
      <c r="Y41" s="200"/>
      <c r="Z41" s="200"/>
      <c r="AA41" s="200"/>
      <c r="AB41" s="200"/>
      <c r="AC41" s="200"/>
      <c r="AD41" s="200"/>
      <c r="AE41" s="208"/>
      <c r="AF41" s="208"/>
      <c r="AG41" s="208"/>
    </row>
    <row r="42" spans="2:33" s="210" customFormat="1" ht="21" thickBot="1" thickTop="1">
      <c r="B42" s="464" t="s">
        <v>133</v>
      </c>
      <c r="C42" s="464"/>
      <c r="D42" s="464"/>
      <c r="E42" s="294"/>
      <c r="F42" s="294"/>
      <c r="G42" s="294"/>
      <c r="H42" s="294"/>
      <c r="I42" s="294"/>
      <c r="J42" s="294"/>
      <c r="K42" s="294"/>
      <c r="L42" s="295"/>
      <c r="M42" s="294"/>
      <c r="N42" s="294"/>
      <c r="O42" s="296"/>
      <c r="P42" s="295"/>
      <c r="Q42" s="294"/>
      <c r="R42" s="294"/>
      <c r="S42" s="294"/>
      <c r="T42" s="294"/>
      <c r="U42" s="294"/>
      <c r="V42" s="294"/>
      <c r="W42" s="294"/>
      <c r="X42" s="294"/>
      <c r="Y42" s="294"/>
      <c r="Z42" s="294"/>
      <c r="AA42" s="294"/>
      <c r="AB42" s="294"/>
      <c r="AC42" s="294"/>
      <c r="AD42" s="294"/>
      <c r="AE42" s="297"/>
      <c r="AF42" s="297"/>
      <c r="AG42" s="297"/>
    </row>
    <row r="43" spans="5:33" s="199" customFormat="1" ht="9" thickTop="1">
      <c r="E43" s="200"/>
      <c r="F43" s="200"/>
      <c r="G43" s="200"/>
      <c r="H43" s="200"/>
      <c r="I43" s="200"/>
      <c r="J43" s="200"/>
      <c r="K43" s="200"/>
      <c r="L43" s="197"/>
      <c r="M43" s="200"/>
      <c r="N43" s="200"/>
      <c r="O43" s="207"/>
      <c r="P43" s="197"/>
      <c r="Q43" s="200"/>
      <c r="R43" s="200"/>
      <c r="S43" s="200"/>
      <c r="T43" s="200"/>
      <c r="U43" s="200"/>
      <c r="V43" s="200"/>
      <c r="W43" s="200"/>
      <c r="X43" s="200"/>
      <c r="Y43" s="200"/>
      <c r="Z43" s="200"/>
      <c r="AA43" s="200"/>
      <c r="AB43" s="200"/>
      <c r="AC43" s="200"/>
      <c r="AD43" s="200"/>
      <c r="AE43" s="208"/>
      <c r="AF43" s="208"/>
      <c r="AG43" s="208"/>
    </row>
    <row r="44" spans="1:29" ht="19.5">
      <c r="A44" s="210"/>
      <c r="B44" s="267" t="s">
        <v>153</v>
      </c>
      <c r="C44" s="468" t="str">
        <f>KOD!C78</f>
        <v>2024 Yılı </v>
      </c>
      <c r="D44" s="468"/>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row>
    <row r="45" spans="2:29" s="199" customFormat="1" ht="9" thickBot="1">
      <c r="B45" s="200"/>
      <c r="C45" s="200"/>
      <c r="D45" s="200"/>
      <c r="E45" s="200"/>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row>
    <row r="46" spans="2:29" ht="12.75">
      <c r="B46" s="320" t="s">
        <v>129</v>
      </c>
      <c r="C46" s="376">
        <v>1</v>
      </c>
      <c r="D46" s="322" t="s">
        <v>131</v>
      </c>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row>
    <row r="47" spans="2:29" ht="12.75">
      <c r="B47" s="321" t="s">
        <v>87</v>
      </c>
      <c r="C47" s="377">
        <v>1</v>
      </c>
      <c r="D47" s="378" t="s">
        <v>131</v>
      </c>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row>
    <row r="48" spans="2:29" ht="13.5" thickBot="1">
      <c r="B48" s="268" t="s">
        <v>130</v>
      </c>
      <c r="C48" s="379">
        <v>60000</v>
      </c>
      <c r="D48" s="380" t="s">
        <v>43</v>
      </c>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row>
    <row r="49" spans="2:29" s="265" customFormat="1" ht="6" thickBot="1">
      <c r="B49" s="263"/>
      <c r="C49" s="263"/>
      <c r="D49" s="263"/>
      <c r="E49" s="263"/>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row>
    <row r="50" spans="2:29" ht="13.5" thickBot="1">
      <c r="B50" s="203" t="s">
        <v>132</v>
      </c>
      <c r="C50" s="381">
        <f>KOD!V193</f>
        <v>26</v>
      </c>
      <c r="D50" s="190" t="s">
        <v>43</v>
      </c>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row>
    <row r="51" spans="2:29" s="265" customFormat="1" ht="5.25">
      <c r="B51" s="304"/>
      <c r="C51" s="305"/>
      <c r="D51" s="335"/>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row>
    <row r="52" spans="2:29" ht="12.75">
      <c r="B52" s="336"/>
      <c r="C52" s="337"/>
      <c r="D52" s="316" t="str">
        <f>CONCATENATE("+18 % KDV : ",TEXT((C50*1.18),"###.###,00")," TL")</f>
        <v>+18 % KDV : 30,68 TL</v>
      </c>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row>
    <row r="53" spans="2:29" s="199" customFormat="1" ht="9" thickBot="1">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row>
    <row r="54" spans="2:24" s="210" customFormat="1" ht="21" thickBot="1" thickTop="1">
      <c r="B54" s="464" t="s">
        <v>133</v>
      </c>
      <c r="C54" s="464"/>
      <c r="D54" s="464"/>
      <c r="E54" s="298"/>
      <c r="F54" s="298"/>
      <c r="G54" s="298"/>
      <c r="H54" s="298"/>
      <c r="I54" s="298"/>
      <c r="J54" s="298"/>
      <c r="K54" s="298"/>
      <c r="L54" s="294"/>
      <c r="M54" s="294"/>
      <c r="N54" s="294"/>
      <c r="O54" s="294"/>
      <c r="P54" s="294"/>
      <c r="Q54" s="298"/>
      <c r="R54" s="298"/>
      <c r="S54" s="298"/>
      <c r="T54" s="298"/>
      <c r="U54" s="298"/>
      <c r="V54" s="298"/>
      <c r="W54" s="298"/>
      <c r="X54" s="298"/>
    </row>
    <row r="55" spans="2:24" s="199" customFormat="1" ht="9" thickTop="1">
      <c r="B55" s="209"/>
      <c r="C55" s="209"/>
      <c r="D55" s="209"/>
      <c r="E55" s="209"/>
      <c r="F55" s="209"/>
      <c r="G55" s="209"/>
      <c r="H55" s="209"/>
      <c r="I55" s="209"/>
      <c r="J55" s="209"/>
      <c r="K55" s="209"/>
      <c r="L55" s="200"/>
      <c r="M55" s="200"/>
      <c r="N55" s="200"/>
      <c r="O55" s="200"/>
      <c r="P55" s="200"/>
      <c r="Q55" s="209"/>
      <c r="R55" s="209"/>
      <c r="S55" s="209"/>
      <c r="T55" s="209"/>
      <c r="U55" s="209"/>
      <c r="V55" s="209"/>
      <c r="W55" s="209"/>
      <c r="X55" s="209"/>
    </row>
    <row r="56" spans="2:24" ht="18.75" customHeight="1">
      <c r="B56" s="267" t="s">
        <v>152</v>
      </c>
      <c r="C56" s="468" t="str">
        <f>KOD!C62</f>
        <v>2024 Yılı </v>
      </c>
      <c r="D56" s="468"/>
      <c r="E56" s="143"/>
      <c r="F56" s="143"/>
      <c r="G56" s="143"/>
      <c r="H56" s="143"/>
      <c r="I56" s="143"/>
      <c r="J56" s="143"/>
      <c r="K56" s="143"/>
      <c r="Q56" s="143"/>
      <c r="R56" s="143"/>
      <c r="S56" s="143"/>
      <c r="T56" s="143"/>
      <c r="U56" s="143"/>
      <c r="V56" s="143"/>
      <c r="W56" s="143"/>
      <c r="X56" s="143"/>
    </row>
    <row r="57" spans="2:24" s="265" customFormat="1" ht="6" thickBot="1">
      <c r="B57" s="263"/>
      <c r="C57" s="263"/>
      <c r="D57" s="263"/>
      <c r="E57" s="264"/>
      <c r="F57" s="264"/>
      <c r="G57" s="264"/>
      <c r="H57" s="264"/>
      <c r="I57" s="264"/>
      <c r="J57" s="264"/>
      <c r="K57" s="264"/>
      <c r="L57" s="263"/>
      <c r="M57" s="263"/>
      <c r="N57" s="263"/>
      <c r="O57" s="263"/>
      <c r="P57" s="263"/>
      <c r="Q57" s="264"/>
      <c r="R57" s="264"/>
      <c r="S57" s="264"/>
      <c r="T57" s="264"/>
      <c r="U57" s="264"/>
      <c r="V57" s="264"/>
      <c r="W57" s="264"/>
      <c r="X57" s="264"/>
    </row>
    <row r="58" spans="1:24" ht="14.25" thickBot="1">
      <c r="A58" s="143"/>
      <c r="B58" s="390" t="s">
        <v>189</v>
      </c>
      <c r="C58" s="47"/>
      <c r="D58" s="47"/>
      <c r="E58" s="143"/>
      <c r="F58" s="143"/>
      <c r="G58" s="143"/>
      <c r="H58" s="143"/>
      <c r="I58" s="143"/>
      <c r="J58" s="143"/>
      <c r="K58" s="143"/>
      <c r="Q58" s="143"/>
      <c r="R58" s="143"/>
      <c r="S58" s="143"/>
      <c r="T58" s="143"/>
      <c r="U58" s="143"/>
      <c r="V58" s="143"/>
      <c r="W58" s="143"/>
      <c r="X58" s="143"/>
    </row>
    <row r="59" spans="2:24" ht="12.75">
      <c r="B59" s="382" t="s">
        <v>190</v>
      </c>
      <c r="C59" s="383">
        <v>1</v>
      </c>
      <c r="D59" s="384" t="s">
        <v>131</v>
      </c>
      <c r="E59" s="143"/>
      <c r="F59" s="143"/>
      <c r="G59" s="143"/>
      <c r="H59" s="143"/>
      <c r="I59" s="143"/>
      <c r="J59" s="143"/>
      <c r="K59" s="143"/>
      <c r="Q59" s="143"/>
      <c r="R59" s="143"/>
      <c r="S59" s="143"/>
      <c r="T59" s="143"/>
      <c r="U59" s="143"/>
      <c r="V59" s="143"/>
      <c r="W59" s="143"/>
      <c r="X59" s="143"/>
    </row>
    <row r="60" spans="2:24" ht="12.75">
      <c r="B60" s="385" t="s">
        <v>192</v>
      </c>
      <c r="C60" s="347">
        <v>0</v>
      </c>
      <c r="D60" s="386" t="s">
        <v>172</v>
      </c>
      <c r="E60" s="143"/>
      <c r="F60" s="143"/>
      <c r="G60" s="143"/>
      <c r="H60" s="143"/>
      <c r="I60" s="143"/>
      <c r="J60" s="143"/>
      <c r="K60" s="143"/>
      <c r="Q60" s="143"/>
      <c r="R60" s="143"/>
      <c r="S60" s="143"/>
      <c r="T60" s="143"/>
      <c r="U60" s="143"/>
      <c r="V60" s="143"/>
      <c r="W60" s="143"/>
      <c r="X60" s="143"/>
    </row>
    <row r="61" spans="2:24" ht="13.5" thickBot="1">
      <c r="B61" s="387" t="s">
        <v>184</v>
      </c>
      <c r="C61" s="388">
        <v>1</v>
      </c>
      <c r="D61" s="389" t="s">
        <v>172</v>
      </c>
      <c r="E61" s="143"/>
      <c r="F61" s="143"/>
      <c r="G61" s="143"/>
      <c r="H61" s="143"/>
      <c r="I61" s="143"/>
      <c r="J61" s="143"/>
      <c r="K61" s="143"/>
      <c r="Q61" s="143"/>
      <c r="R61" s="143"/>
      <c r="S61" s="143"/>
      <c r="T61" s="143"/>
      <c r="U61" s="143"/>
      <c r="V61" s="143"/>
      <c r="W61" s="143"/>
      <c r="X61" s="143"/>
    </row>
    <row r="62" spans="2:24" s="265" customFormat="1" ht="6" thickBot="1">
      <c r="B62" s="264"/>
      <c r="C62" s="264"/>
      <c r="D62" s="264"/>
      <c r="E62" s="264"/>
      <c r="F62" s="264"/>
      <c r="G62" s="264"/>
      <c r="H62" s="264"/>
      <c r="I62" s="264"/>
      <c r="J62" s="264"/>
      <c r="K62" s="264"/>
      <c r="L62" s="264"/>
      <c r="M62" s="264"/>
      <c r="N62" s="264"/>
      <c r="O62" s="264"/>
      <c r="P62" s="264"/>
      <c r="Q62" s="264"/>
      <c r="R62" s="264"/>
      <c r="S62" s="264"/>
      <c r="T62" s="264"/>
      <c r="U62" s="264"/>
      <c r="V62" s="264"/>
      <c r="W62" s="264"/>
      <c r="X62" s="264"/>
    </row>
    <row r="63" spans="2:24" ht="13.5" thickBot="1">
      <c r="B63" s="203" t="s">
        <v>178</v>
      </c>
      <c r="C63" s="381">
        <f>KOD!U209</f>
        <v>0</v>
      </c>
      <c r="D63" s="190" t="s">
        <v>43</v>
      </c>
      <c r="E63" s="143"/>
      <c r="F63" s="143"/>
      <c r="G63" s="143"/>
      <c r="H63" s="143"/>
      <c r="I63" s="143"/>
      <c r="J63" s="143"/>
      <c r="K63" s="143"/>
      <c r="L63" s="143"/>
      <c r="M63" s="143"/>
      <c r="N63" s="143"/>
      <c r="O63" s="143"/>
      <c r="P63" s="143"/>
      <c r="Q63" s="143"/>
      <c r="R63" s="143"/>
      <c r="S63" s="143"/>
      <c r="T63" s="143"/>
      <c r="U63" s="143"/>
      <c r="V63" s="143"/>
      <c r="W63" s="143"/>
      <c r="X63" s="143"/>
    </row>
    <row r="64" spans="2:24" s="265" customFormat="1" ht="5.25">
      <c r="B64" s="304"/>
      <c r="C64" s="305"/>
      <c r="D64" s="335"/>
      <c r="E64" s="264"/>
      <c r="F64" s="264"/>
      <c r="G64" s="264"/>
      <c r="H64" s="264"/>
      <c r="I64" s="264"/>
      <c r="J64" s="264"/>
      <c r="K64" s="264"/>
      <c r="L64" s="264"/>
      <c r="M64" s="264"/>
      <c r="N64" s="264"/>
      <c r="O64" s="264"/>
      <c r="P64" s="264"/>
      <c r="Q64" s="264"/>
      <c r="R64" s="264"/>
      <c r="S64" s="264"/>
      <c r="T64" s="264"/>
      <c r="U64" s="264"/>
      <c r="V64" s="264"/>
      <c r="W64" s="264"/>
      <c r="X64" s="264"/>
    </row>
    <row r="65" spans="2:24" ht="12.75">
      <c r="B65" s="336"/>
      <c r="C65" s="337"/>
      <c r="D65" s="316" t="str">
        <f>CONCATENATE("+18 % KDV : ",TEXT((C63*1.18),"###.###,00")," TL")</f>
        <v>+18 % KDV : ,00 TL</v>
      </c>
      <c r="E65" s="143"/>
      <c r="F65" s="143"/>
      <c r="G65" s="143"/>
      <c r="H65" s="143"/>
      <c r="I65" s="143"/>
      <c r="J65" s="143"/>
      <c r="K65" s="143"/>
      <c r="L65" s="143"/>
      <c r="M65" s="143"/>
      <c r="N65" s="143"/>
      <c r="O65" s="143"/>
      <c r="P65" s="143"/>
      <c r="Q65" s="143"/>
      <c r="R65" s="143"/>
      <c r="S65" s="143"/>
      <c r="T65" s="143"/>
      <c r="U65" s="143"/>
      <c r="V65" s="143"/>
      <c r="W65" s="143"/>
      <c r="X65" s="143"/>
    </row>
    <row r="66" spans="2:24" s="199" customFormat="1" ht="9" thickBot="1">
      <c r="B66" s="391"/>
      <c r="C66" s="391"/>
      <c r="D66" s="391"/>
      <c r="E66" s="391"/>
      <c r="F66" s="391"/>
      <c r="G66" s="391"/>
      <c r="H66" s="391"/>
      <c r="I66" s="391"/>
      <c r="J66" s="391"/>
      <c r="K66" s="391"/>
      <c r="L66" s="391"/>
      <c r="M66" s="391"/>
      <c r="N66" s="391"/>
      <c r="O66" s="391"/>
      <c r="P66" s="391"/>
      <c r="Q66" s="391"/>
      <c r="R66" s="391"/>
      <c r="S66" s="391"/>
      <c r="T66" s="391"/>
      <c r="U66" s="391"/>
      <c r="V66" s="391"/>
      <c r="W66" s="391"/>
      <c r="X66" s="391"/>
    </row>
    <row r="67" spans="2:24" ht="14.25" thickBot="1">
      <c r="B67" s="390" t="s">
        <v>188</v>
      </c>
      <c r="C67" s="47"/>
      <c r="D67" s="47"/>
      <c r="E67" s="143"/>
      <c r="F67" s="143"/>
      <c r="G67" s="143"/>
      <c r="H67" s="143"/>
      <c r="I67" s="143"/>
      <c r="J67" s="143"/>
      <c r="K67" s="143"/>
      <c r="L67" s="143"/>
      <c r="M67" s="143"/>
      <c r="N67" s="143"/>
      <c r="O67" s="143"/>
      <c r="P67" s="143"/>
      <c r="Q67" s="143"/>
      <c r="R67" s="143"/>
      <c r="S67" s="143"/>
      <c r="T67" s="143"/>
      <c r="U67" s="143"/>
      <c r="V67" s="143"/>
      <c r="W67" s="143"/>
      <c r="X67" s="143"/>
    </row>
    <row r="68" spans="2:24" ht="12.75">
      <c r="B68" s="382" t="s">
        <v>191</v>
      </c>
      <c r="C68" s="383">
        <v>1</v>
      </c>
      <c r="D68" s="384" t="s">
        <v>131</v>
      </c>
      <c r="E68" s="143"/>
      <c r="F68" s="143"/>
      <c r="G68" s="143"/>
      <c r="H68" s="143"/>
      <c r="I68" s="143"/>
      <c r="J68" s="143"/>
      <c r="K68" s="143"/>
      <c r="L68" s="143"/>
      <c r="M68" s="143"/>
      <c r="N68" s="143"/>
      <c r="O68" s="143"/>
      <c r="P68" s="143"/>
      <c r="Q68" s="143"/>
      <c r="R68" s="143"/>
      <c r="S68" s="143"/>
      <c r="T68" s="143"/>
      <c r="U68" s="143"/>
      <c r="V68" s="143"/>
      <c r="W68" s="143"/>
      <c r="X68" s="143"/>
    </row>
    <row r="69" spans="2:24" ht="12.75">
      <c r="B69" s="385" t="s">
        <v>186</v>
      </c>
      <c r="C69" s="347">
        <v>1</v>
      </c>
      <c r="D69" s="386" t="s">
        <v>187</v>
      </c>
      <c r="E69" s="143"/>
      <c r="F69" s="143"/>
      <c r="G69" s="143"/>
      <c r="H69" s="143"/>
      <c r="I69" s="143"/>
      <c r="J69" s="143"/>
      <c r="K69" s="143"/>
      <c r="L69" s="143"/>
      <c r="M69" s="143"/>
      <c r="N69" s="143"/>
      <c r="O69" s="143"/>
      <c r="P69" s="143"/>
      <c r="Q69" s="143"/>
      <c r="R69" s="143"/>
      <c r="S69" s="143"/>
      <c r="T69" s="143"/>
      <c r="U69" s="143"/>
      <c r="V69" s="143"/>
      <c r="W69" s="143"/>
      <c r="X69" s="143"/>
    </row>
    <row r="70" spans="2:24" ht="12.75">
      <c r="B70" s="385" t="s">
        <v>192</v>
      </c>
      <c r="C70" s="347">
        <v>0</v>
      </c>
      <c r="D70" s="386" t="s">
        <v>172</v>
      </c>
      <c r="E70" s="143"/>
      <c r="F70" s="143"/>
      <c r="G70" s="143"/>
      <c r="H70" s="143"/>
      <c r="I70" s="143"/>
      <c r="J70" s="143"/>
      <c r="K70" s="143"/>
      <c r="L70" s="143"/>
      <c r="M70" s="143"/>
      <c r="N70" s="143"/>
      <c r="O70" s="143"/>
      <c r="P70" s="143"/>
      <c r="Q70" s="143"/>
      <c r="R70" s="143"/>
      <c r="S70" s="143"/>
      <c r="T70" s="143"/>
      <c r="U70" s="143"/>
      <c r="V70" s="143"/>
      <c r="W70" s="143"/>
      <c r="X70" s="143"/>
    </row>
    <row r="71" spans="2:24" ht="13.5" thickBot="1">
      <c r="B71" s="387" t="s">
        <v>184</v>
      </c>
      <c r="C71" s="388">
        <v>1</v>
      </c>
      <c r="D71" s="389" t="s">
        <v>172</v>
      </c>
      <c r="E71" s="143"/>
      <c r="F71" s="143"/>
      <c r="G71" s="143"/>
      <c r="H71" s="143"/>
      <c r="I71" s="143"/>
      <c r="J71" s="143"/>
      <c r="K71" s="143"/>
      <c r="L71" s="143"/>
      <c r="M71" s="143"/>
      <c r="N71" s="143"/>
      <c r="O71" s="143"/>
      <c r="P71" s="143"/>
      <c r="Q71" s="143"/>
      <c r="R71" s="143"/>
      <c r="S71" s="143"/>
      <c r="T71" s="143"/>
      <c r="U71" s="143"/>
      <c r="V71" s="143"/>
      <c r="W71" s="143"/>
      <c r="X71" s="143"/>
    </row>
    <row r="72" spans="2:24" s="265" customFormat="1" ht="6" thickBot="1">
      <c r="B72" s="264"/>
      <c r="C72" s="264"/>
      <c r="D72" s="264"/>
      <c r="E72" s="264"/>
      <c r="F72" s="264"/>
      <c r="G72" s="264"/>
      <c r="H72" s="264"/>
      <c r="I72" s="264"/>
      <c r="J72" s="264"/>
      <c r="K72" s="264"/>
      <c r="L72" s="264"/>
      <c r="M72" s="264"/>
      <c r="N72" s="264"/>
      <c r="O72" s="264"/>
      <c r="P72" s="264"/>
      <c r="Q72" s="264"/>
      <c r="R72" s="264"/>
      <c r="S72" s="264"/>
      <c r="T72" s="264"/>
      <c r="U72" s="264"/>
      <c r="V72" s="264"/>
      <c r="W72" s="264"/>
      <c r="X72" s="264"/>
    </row>
    <row r="73" spans="2:24" ht="13.5" thickBot="1">
      <c r="B73" s="203" t="s">
        <v>178</v>
      </c>
      <c r="C73" s="381">
        <f>KOD!U214</f>
        <v>0</v>
      </c>
      <c r="D73" s="190" t="s">
        <v>43</v>
      </c>
      <c r="E73" s="143"/>
      <c r="F73" s="143"/>
      <c r="G73" s="143"/>
      <c r="H73" s="143"/>
      <c r="I73" s="143"/>
      <c r="J73" s="143"/>
      <c r="K73" s="143"/>
      <c r="L73" s="143"/>
      <c r="M73" s="143"/>
      <c r="N73" s="143"/>
      <c r="O73" s="143"/>
      <c r="P73" s="143"/>
      <c r="Q73" s="143"/>
      <c r="R73" s="143"/>
      <c r="S73" s="143"/>
      <c r="T73" s="143"/>
      <c r="U73" s="143"/>
      <c r="V73" s="143"/>
      <c r="W73" s="143"/>
      <c r="X73" s="143"/>
    </row>
    <row r="74" spans="2:24" s="265" customFormat="1" ht="5.25">
      <c r="B74" s="304"/>
      <c r="C74" s="305"/>
      <c r="D74" s="335"/>
      <c r="E74" s="264"/>
      <c r="F74" s="264"/>
      <c r="G74" s="264"/>
      <c r="H74" s="264"/>
      <c r="I74" s="264"/>
      <c r="J74" s="264"/>
      <c r="K74" s="264"/>
      <c r="L74" s="264"/>
      <c r="M74" s="264"/>
      <c r="N74" s="264"/>
      <c r="O74" s="264"/>
      <c r="P74" s="264"/>
      <c r="Q74" s="264"/>
      <c r="R74" s="264"/>
      <c r="S74" s="264"/>
      <c r="T74" s="264"/>
      <c r="U74" s="264"/>
      <c r="V74" s="264"/>
      <c r="W74" s="264"/>
      <c r="X74" s="264"/>
    </row>
    <row r="75" spans="2:24" ht="12.75">
      <c r="B75" s="336"/>
      <c r="C75" s="337"/>
      <c r="D75" s="316" t="str">
        <f>CONCATENATE("+18 % KDV : ",TEXT((C73*1.18),"###.###,00")," TL")</f>
        <v>+18 % KDV : ,00 TL</v>
      </c>
      <c r="E75" s="143"/>
      <c r="F75" s="143"/>
      <c r="G75" s="143"/>
      <c r="H75" s="143"/>
      <c r="I75" s="143"/>
      <c r="J75" s="143"/>
      <c r="K75" s="143"/>
      <c r="L75" s="143"/>
      <c r="M75" s="143"/>
      <c r="N75" s="143"/>
      <c r="O75" s="143"/>
      <c r="P75" s="143"/>
      <c r="Q75" s="143"/>
      <c r="R75" s="143"/>
      <c r="S75" s="143"/>
      <c r="T75" s="143"/>
      <c r="U75" s="143"/>
      <c r="V75" s="143"/>
      <c r="W75" s="143"/>
      <c r="X75" s="143"/>
    </row>
    <row r="76" spans="2:24" ht="12.75">
      <c r="B76" s="143"/>
      <c r="C76" s="143"/>
      <c r="D76" s="143"/>
      <c r="E76" s="143"/>
      <c r="F76" s="143"/>
      <c r="G76" s="143"/>
      <c r="H76" s="143"/>
      <c r="I76" s="143"/>
      <c r="J76" s="143"/>
      <c r="K76" s="143"/>
      <c r="L76" s="143"/>
      <c r="M76" s="143"/>
      <c r="N76" s="143"/>
      <c r="O76" s="143"/>
      <c r="P76" s="143"/>
      <c r="Q76" s="143"/>
      <c r="R76" s="143"/>
      <c r="S76" s="143"/>
      <c r="T76" s="143"/>
      <c r="U76" s="143"/>
      <c r="V76" s="143"/>
      <c r="W76" s="143"/>
      <c r="X76" s="143"/>
    </row>
    <row r="77" spans="2:24" ht="12.75">
      <c r="B77" s="143"/>
      <c r="C77" s="143"/>
      <c r="D77" s="143"/>
      <c r="E77" s="143"/>
      <c r="F77" s="143"/>
      <c r="G77" s="143"/>
      <c r="H77" s="143"/>
      <c r="I77" s="143"/>
      <c r="J77" s="143"/>
      <c r="K77" s="143"/>
      <c r="L77" s="143"/>
      <c r="M77" s="143"/>
      <c r="N77" s="143"/>
      <c r="O77" s="143"/>
      <c r="P77" s="143"/>
      <c r="Q77" s="143"/>
      <c r="R77" s="143"/>
      <c r="S77" s="143"/>
      <c r="T77" s="143"/>
      <c r="U77" s="143"/>
      <c r="V77" s="143"/>
      <c r="W77" s="143"/>
      <c r="X77" s="143"/>
    </row>
    <row r="78" spans="2:24" ht="12.75">
      <c r="B78" s="143"/>
      <c r="C78" s="143"/>
      <c r="D78" s="143"/>
      <c r="E78" s="143"/>
      <c r="F78" s="143"/>
      <c r="G78" s="143"/>
      <c r="H78" s="143"/>
      <c r="I78" s="143"/>
      <c r="J78" s="143"/>
      <c r="K78" s="143"/>
      <c r="L78" s="143"/>
      <c r="M78" s="143"/>
      <c r="N78" s="143"/>
      <c r="O78" s="143"/>
      <c r="P78" s="143"/>
      <c r="Q78" s="143"/>
      <c r="R78" s="143"/>
      <c r="S78" s="143"/>
      <c r="T78" s="143"/>
      <c r="U78" s="143"/>
      <c r="V78" s="143"/>
      <c r="W78" s="143"/>
      <c r="X78" s="143"/>
    </row>
    <row r="79" spans="2:24" ht="12.75">
      <c r="B79" s="143"/>
      <c r="C79" s="143"/>
      <c r="D79" s="143"/>
      <c r="E79" s="143"/>
      <c r="F79" s="143"/>
      <c r="G79" s="143"/>
      <c r="H79" s="143"/>
      <c r="I79" s="143"/>
      <c r="J79" s="143"/>
      <c r="K79" s="143"/>
      <c r="L79" s="143"/>
      <c r="M79" s="143"/>
      <c r="N79" s="143"/>
      <c r="O79" s="143"/>
      <c r="P79" s="143"/>
      <c r="Q79" s="143"/>
      <c r="R79" s="143"/>
      <c r="S79" s="143"/>
      <c r="T79" s="143"/>
      <c r="U79" s="143"/>
      <c r="V79" s="143"/>
      <c r="W79" s="143"/>
      <c r="X79" s="143"/>
    </row>
    <row r="80" spans="2:24" ht="12.75">
      <c r="B80" s="143"/>
      <c r="C80" s="143"/>
      <c r="D80" s="143"/>
      <c r="E80" s="143"/>
      <c r="F80" s="143"/>
      <c r="G80" s="143"/>
      <c r="H80" s="143"/>
      <c r="I80" s="143"/>
      <c r="J80" s="143"/>
      <c r="K80" s="143"/>
      <c r="L80" s="143"/>
      <c r="M80" s="143"/>
      <c r="N80" s="143"/>
      <c r="O80" s="143"/>
      <c r="P80" s="143"/>
      <c r="Q80" s="143"/>
      <c r="R80" s="143"/>
      <c r="S80" s="143"/>
      <c r="T80" s="143"/>
      <c r="U80" s="143"/>
      <c r="V80" s="143"/>
      <c r="W80" s="143"/>
      <c r="X80" s="143"/>
    </row>
    <row r="81" spans="2:24" ht="12.75">
      <c r="B81" s="143"/>
      <c r="C81" s="143"/>
      <c r="D81" s="143"/>
      <c r="E81" s="143"/>
      <c r="F81" s="143"/>
      <c r="G81" s="143"/>
      <c r="H81" s="143"/>
      <c r="I81" s="143"/>
      <c r="J81" s="143"/>
      <c r="K81" s="143"/>
      <c r="L81" s="143"/>
      <c r="M81" s="143"/>
      <c r="N81" s="143"/>
      <c r="O81" s="143"/>
      <c r="P81" s="143"/>
      <c r="Q81" s="143"/>
      <c r="R81" s="143"/>
      <c r="S81" s="143"/>
      <c r="T81" s="143"/>
      <c r="U81" s="143"/>
      <c r="V81" s="143"/>
      <c r="W81" s="143"/>
      <c r="X81" s="143"/>
    </row>
    <row r="82" spans="2:24" ht="12.75">
      <c r="B82" s="143"/>
      <c r="C82" s="143"/>
      <c r="D82" s="143"/>
      <c r="E82" s="143"/>
      <c r="F82" s="143"/>
      <c r="G82" s="143"/>
      <c r="H82" s="143"/>
      <c r="I82" s="143"/>
      <c r="J82" s="143"/>
      <c r="K82" s="143"/>
      <c r="L82" s="143"/>
      <c r="M82" s="143"/>
      <c r="N82" s="143"/>
      <c r="O82" s="143"/>
      <c r="P82" s="143"/>
      <c r="Q82" s="143"/>
      <c r="R82" s="143"/>
      <c r="S82" s="143"/>
      <c r="T82" s="143"/>
      <c r="U82" s="143"/>
      <c r="V82" s="143"/>
      <c r="W82" s="143"/>
      <c r="X82" s="143"/>
    </row>
    <row r="83" spans="2:24" ht="12.75">
      <c r="B83" s="143"/>
      <c r="C83" s="143"/>
      <c r="D83" s="143"/>
      <c r="E83" s="143"/>
      <c r="F83" s="143"/>
      <c r="G83" s="143"/>
      <c r="H83" s="143"/>
      <c r="I83" s="143"/>
      <c r="J83" s="143"/>
      <c r="K83" s="143"/>
      <c r="L83" s="143"/>
      <c r="M83" s="143"/>
      <c r="N83" s="143"/>
      <c r="O83" s="143"/>
      <c r="P83" s="143"/>
      <c r="Q83" s="143"/>
      <c r="R83" s="143"/>
      <c r="S83" s="143"/>
      <c r="T83" s="143"/>
      <c r="U83" s="143"/>
      <c r="V83" s="143"/>
      <c r="W83" s="143"/>
      <c r="X83" s="143"/>
    </row>
    <row r="84" spans="2:24" ht="12.75">
      <c r="B84" s="143"/>
      <c r="C84" s="143"/>
      <c r="D84" s="143"/>
      <c r="E84" s="143"/>
      <c r="F84" s="143"/>
      <c r="G84" s="143"/>
      <c r="H84" s="143"/>
      <c r="I84" s="143"/>
      <c r="J84" s="143"/>
      <c r="K84" s="143"/>
      <c r="L84" s="143"/>
      <c r="M84" s="143"/>
      <c r="N84" s="143"/>
      <c r="O84" s="143"/>
      <c r="P84" s="143"/>
      <c r="Q84" s="143"/>
      <c r="R84" s="143"/>
      <c r="S84" s="143"/>
      <c r="T84" s="143"/>
      <c r="U84" s="143"/>
      <c r="V84" s="143"/>
      <c r="W84" s="143"/>
      <c r="X84" s="143"/>
    </row>
    <row r="85" spans="2:24" ht="12.75">
      <c r="B85" s="143"/>
      <c r="C85" s="143"/>
      <c r="D85" s="143"/>
      <c r="E85" s="143"/>
      <c r="F85" s="143"/>
      <c r="G85" s="143"/>
      <c r="H85" s="143"/>
      <c r="I85" s="143"/>
      <c r="J85" s="143"/>
      <c r="K85" s="143"/>
      <c r="L85" s="143"/>
      <c r="M85" s="143"/>
      <c r="N85" s="143"/>
      <c r="O85" s="143"/>
      <c r="P85" s="143"/>
      <c r="Q85" s="143"/>
      <c r="R85" s="143"/>
      <c r="S85" s="143"/>
      <c r="T85" s="143"/>
      <c r="U85" s="143"/>
      <c r="V85" s="143"/>
      <c r="W85" s="143"/>
      <c r="X85" s="143"/>
    </row>
    <row r="86" spans="2:24" ht="12.75">
      <c r="B86" s="143"/>
      <c r="C86" s="143"/>
      <c r="D86" s="143"/>
      <c r="E86" s="143"/>
      <c r="F86" s="143"/>
      <c r="G86" s="143"/>
      <c r="H86" s="143"/>
      <c r="I86" s="143"/>
      <c r="J86" s="143"/>
      <c r="K86" s="143"/>
      <c r="L86" s="143"/>
      <c r="M86" s="143"/>
      <c r="N86" s="143"/>
      <c r="O86" s="143"/>
      <c r="P86" s="143"/>
      <c r="Q86" s="143"/>
      <c r="R86" s="143"/>
      <c r="S86" s="143"/>
      <c r="T86" s="143"/>
      <c r="U86" s="143"/>
      <c r="V86" s="143"/>
      <c r="W86" s="143"/>
      <c r="X86" s="143"/>
    </row>
    <row r="87" spans="2:24" ht="12.75">
      <c r="B87" s="143"/>
      <c r="C87" s="143"/>
      <c r="D87" s="143"/>
      <c r="E87" s="143"/>
      <c r="F87" s="143"/>
      <c r="G87" s="143"/>
      <c r="H87" s="143"/>
      <c r="I87" s="143"/>
      <c r="J87" s="143"/>
      <c r="K87" s="143"/>
      <c r="L87" s="143"/>
      <c r="M87" s="143"/>
      <c r="N87" s="143"/>
      <c r="O87" s="143"/>
      <c r="P87" s="143"/>
      <c r="Q87" s="143"/>
      <c r="R87" s="143"/>
      <c r="S87" s="143"/>
      <c r="T87" s="143"/>
      <c r="U87" s="143"/>
      <c r="V87" s="143"/>
      <c r="W87" s="143"/>
      <c r="X87" s="143"/>
    </row>
    <row r="88" spans="2:24" ht="12.75">
      <c r="B88" s="143"/>
      <c r="C88" s="143"/>
      <c r="D88" s="143"/>
      <c r="E88" s="143"/>
      <c r="F88" s="143"/>
      <c r="G88" s="143"/>
      <c r="H88" s="143"/>
      <c r="I88" s="143"/>
      <c r="J88" s="143"/>
      <c r="K88" s="143"/>
      <c r="L88" s="143"/>
      <c r="M88" s="143"/>
      <c r="N88" s="143"/>
      <c r="O88" s="143"/>
      <c r="P88" s="143"/>
      <c r="Q88" s="143"/>
      <c r="R88" s="143"/>
      <c r="S88" s="143"/>
      <c r="T88" s="143"/>
      <c r="U88" s="143"/>
      <c r="V88" s="143"/>
      <c r="W88" s="143"/>
      <c r="X88" s="143"/>
    </row>
    <row r="89" spans="2:24" ht="12.75">
      <c r="B89" s="143"/>
      <c r="C89" s="143"/>
      <c r="D89" s="143"/>
      <c r="E89" s="143"/>
      <c r="F89" s="143"/>
      <c r="G89" s="143"/>
      <c r="H89" s="143"/>
      <c r="I89" s="143"/>
      <c r="J89" s="143"/>
      <c r="K89" s="143"/>
      <c r="L89" s="143"/>
      <c r="M89" s="143"/>
      <c r="N89" s="143"/>
      <c r="O89" s="143"/>
      <c r="P89" s="143"/>
      <c r="Q89" s="143"/>
      <c r="R89" s="143"/>
      <c r="S89" s="143"/>
      <c r="T89" s="143"/>
      <c r="U89" s="143"/>
      <c r="V89" s="143"/>
      <c r="W89" s="143"/>
      <c r="X89" s="143"/>
    </row>
    <row r="90" spans="2:24" ht="12.75">
      <c r="B90" s="143"/>
      <c r="C90" s="143"/>
      <c r="D90" s="143"/>
      <c r="E90" s="143"/>
      <c r="F90" s="143"/>
      <c r="G90" s="143"/>
      <c r="H90" s="143"/>
      <c r="I90" s="143"/>
      <c r="J90" s="143"/>
      <c r="K90" s="143"/>
      <c r="L90" s="143"/>
      <c r="M90" s="143"/>
      <c r="N90" s="143"/>
      <c r="O90" s="143"/>
      <c r="P90" s="143"/>
      <c r="Q90" s="143"/>
      <c r="R90" s="143"/>
      <c r="S90" s="143"/>
      <c r="T90" s="143"/>
      <c r="U90" s="143"/>
      <c r="V90" s="143"/>
      <c r="W90" s="143"/>
      <c r="X90" s="143"/>
    </row>
    <row r="91" spans="2:24" ht="12.75">
      <c r="B91" s="143"/>
      <c r="C91" s="143"/>
      <c r="D91" s="143"/>
      <c r="E91" s="143"/>
      <c r="F91" s="143"/>
      <c r="G91" s="143"/>
      <c r="H91" s="143"/>
      <c r="I91" s="143"/>
      <c r="J91" s="143"/>
      <c r="K91" s="143"/>
      <c r="L91" s="143"/>
      <c r="M91" s="143"/>
      <c r="N91" s="143"/>
      <c r="O91" s="143"/>
      <c r="P91" s="143"/>
      <c r="Q91" s="143"/>
      <c r="R91" s="143"/>
      <c r="S91" s="143"/>
      <c r="T91" s="143"/>
      <c r="U91" s="143"/>
      <c r="V91" s="143"/>
      <c r="W91" s="143"/>
      <c r="X91" s="143"/>
    </row>
    <row r="92" spans="2:24" ht="12.75">
      <c r="B92" s="143"/>
      <c r="C92" s="143"/>
      <c r="D92" s="143"/>
      <c r="E92" s="143"/>
      <c r="F92" s="143"/>
      <c r="G92" s="143"/>
      <c r="H92" s="143"/>
      <c r="I92" s="143"/>
      <c r="J92" s="143"/>
      <c r="K92" s="143"/>
      <c r="L92" s="143"/>
      <c r="M92" s="143"/>
      <c r="N92" s="143"/>
      <c r="O92" s="143"/>
      <c r="P92" s="143"/>
      <c r="Q92" s="143"/>
      <c r="R92" s="143"/>
      <c r="S92" s="143"/>
      <c r="T92" s="143"/>
      <c r="U92" s="143"/>
      <c r="V92" s="143"/>
      <c r="W92" s="143"/>
      <c r="X92" s="143"/>
    </row>
    <row r="93" spans="2:24" ht="12.75">
      <c r="B93" s="143"/>
      <c r="C93" s="143"/>
      <c r="D93" s="143"/>
      <c r="E93" s="143"/>
      <c r="F93" s="143"/>
      <c r="G93" s="143"/>
      <c r="H93" s="143"/>
      <c r="I93" s="143"/>
      <c r="J93" s="143"/>
      <c r="K93" s="143"/>
      <c r="L93" s="143"/>
      <c r="M93" s="143"/>
      <c r="N93" s="143"/>
      <c r="O93" s="143"/>
      <c r="P93" s="143"/>
      <c r="Q93" s="143"/>
      <c r="R93" s="143"/>
      <c r="S93" s="143"/>
      <c r="T93" s="143"/>
      <c r="U93" s="143"/>
      <c r="V93" s="143"/>
      <c r="W93" s="143"/>
      <c r="X93" s="143"/>
    </row>
    <row r="94" spans="2:24" ht="12.75">
      <c r="B94" s="143"/>
      <c r="C94" s="143"/>
      <c r="D94" s="143"/>
      <c r="E94" s="143"/>
      <c r="F94" s="143"/>
      <c r="G94" s="143"/>
      <c r="H94" s="143"/>
      <c r="I94" s="143"/>
      <c r="J94" s="143"/>
      <c r="K94" s="143"/>
      <c r="L94" s="143"/>
      <c r="M94" s="143"/>
      <c r="N94" s="143"/>
      <c r="O94" s="143"/>
      <c r="P94" s="143"/>
      <c r="Q94" s="143"/>
      <c r="R94" s="143"/>
      <c r="S94" s="143"/>
      <c r="T94" s="143"/>
      <c r="U94" s="143"/>
      <c r="V94" s="143"/>
      <c r="W94" s="143"/>
      <c r="X94" s="143"/>
    </row>
    <row r="95" spans="2:24" ht="12.75">
      <c r="B95" s="143"/>
      <c r="C95" s="143"/>
      <c r="D95" s="143"/>
      <c r="E95" s="143"/>
      <c r="F95" s="143"/>
      <c r="G95" s="143"/>
      <c r="H95" s="143"/>
      <c r="I95" s="143"/>
      <c r="J95" s="143"/>
      <c r="K95" s="143"/>
      <c r="L95" s="143"/>
      <c r="M95" s="143"/>
      <c r="N95" s="143"/>
      <c r="O95" s="143"/>
      <c r="P95" s="143"/>
      <c r="Q95" s="143"/>
      <c r="R95" s="143"/>
      <c r="S95" s="143"/>
      <c r="T95" s="143"/>
      <c r="U95" s="143"/>
      <c r="V95" s="143"/>
      <c r="W95" s="143"/>
      <c r="X95" s="143"/>
    </row>
    <row r="96" spans="2:24" ht="12.75">
      <c r="B96" s="143"/>
      <c r="C96" s="143"/>
      <c r="D96" s="143"/>
      <c r="E96" s="143"/>
      <c r="F96" s="143"/>
      <c r="G96" s="143"/>
      <c r="H96" s="143"/>
      <c r="I96" s="143"/>
      <c r="J96" s="143"/>
      <c r="K96" s="143"/>
      <c r="L96" s="143"/>
      <c r="M96" s="143"/>
      <c r="N96" s="143"/>
      <c r="O96" s="143"/>
      <c r="P96" s="143"/>
      <c r="Q96" s="143"/>
      <c r="R96" s="143"/>
      <c r="S96" s="143"/>
      <c r="T96" s="143"/>
      <c r="U96" s="143"/>
      <c r="V96" s="143"/>
      <c r="W96" s="143"/>
      <c r="X96" s="143"/>
    </row>
    <row r="97" spans="2:24" ht="12.75">
      <c r="B97" s="143"/>
      <c r="C97" s="143"/>
      <c r="D97" s="143"/>
      <c r="E97" s="143"/>
      <c r="F97" s="143"/>
      <c r="G97" s="143"/>
      <c r="H97" s="143"/>
      <c r="I97" s="143"/>
      <c r="J97" s="143"/>
      <c r="K97" s="143"/>
      <c r="L97" s="143"/>
      <c r="M97" s="143"/>
      <c r="N97" s="143"/>
      <c r="O97" s="143"/>
      <c r="P97" s="143"/>
      <c r="Q97" s="143"/>
      <c r="R97" s="143"/>
      <c r="S97" s="143"/>
      <c r="T97" s="143"/>
      <c r="U97" s="143"/>
      <c r="V97" s="143"/>
      <c r="W97" s="143"/>
      <c r="X97" s="143"/>
    </row>
    <row r="98" spans="2:24" ht="12.75">
      <c r="B98" s="143"/>
      <c r="C98" s="143"/>
      <c r="D98" s="143"/>
      <c r="E98" s="143"/>
      <c r="F98" s="143"/>
      <c r="G98" s="143"/>
      <c r="H98" s="143"/>
      <c r="I98" s="143"/>
      <c r="J98" s="143"/>
      <c r="K98" s="143"/>
      <c r="L98" s="143"/>
      <c r="M98" s="143"/>
      <c r="N98" s="143"/>
      <c r="O98" s="143"/>
      <c r="P98" s="143"/>
      <c r="Q98" s="143"/>
      <c r="R98" s="143"/>
      <c r="S98" s="143"/>
      <c r="T98" s="143"/>
      <c r="U98" s="143"/>
      <c r="V98" s="143"/>
      <c r="W98" s="143"/>
      <c r="X98" s="143"/>
    </row>
    <row r="99" spans="2:24" ht="12.75">
      <c r="B99" s="143"/>
      <c r="C99" s="143"/>
      <c r="D99" s="143"/>
      <c r="E99" s="143"/>
      <c r="F99" s="143"/>
      <c r="G99" s="143"/>
      <c r="H99" s="143"/>
      <c r="I99" s="143"/>
      <c r="J99" s="143"/>
      <c r="K99" s="143"/>
      <c r="L99" s="143"/>
      <c r="M99" s="143"/>
      <c r="N99" s="143"/>
      <c r="O99" s="143"/>
      <c r="P99" s="143"/>
      <c r="Q99" s="143"/>
      <c r="R99" s="143"/>
      <c r="S99" s="143"/>
      <c r="T99" s="143"/>
      <c r="U99" s="143"/>
      <c r="V99" s="143"/>
      <c r="W99" s="143"/>
      <c r="X99" s="143"/>
    </row>
    <row r="100" spans="2:24" ht="12.75">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row>
    <row r="101" spans="2:24" ht="12.75">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row>
    <row r="102" spans="2:24" ht="12.75">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row>
    <row r="103" spans="2:24" ht="12.75">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row>
    <row r="104" spans="2:24" ht="12.75">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row>
    <row r="105" spans="2:24" ht="12.75">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row>
    <row r="106" spans="2:24" ht="12.75">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row>
    <row r="107" spans="2:24" ht="12.75">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row>
    <row r="108" spans="2:24" ht="12.75">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row>
    <row r="109" spans="2:24" ht="12.75">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row>
    <row r="110" spans="2:24" ht="12.75">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row>
    <row r="111" spans="2:24" ht="12.75">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row>
    <row r="112" spans="2:24" ht="12.75">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row>
    <row r="113" spans="2:24" ht="12.75">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row>
    <row r="114" spans="2:24" ht="12.75">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row>
    <row r="115" spans="2:24" ht="12.75">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row>
    <row r="116" spans="2:24" ht="12.75">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row>
    <row r="117" spans="2:24" ht="12.75">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row>
    <row r="118" spans="2:24" ht="12.75">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row>
    <row r="119" spans="2:24" ht="12.75">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row>
    <row r="120" spans="2:24" ht="12.75">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row>
    <row r="121" spans="2:24" ht="12.75">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row>
    <row r="122" spans="2:24" ht="12.75">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row>
    <row r="123" spans="2:24" ht="12.75">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row>
    <row r="124" spans="2:24" ht="12.75">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row>
    <row r="125" spans="2:24" ht="12.75">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row>
    <row r="126" spans="2:31" ht="12.7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ht="12.7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ht="12.7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ht="12.7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ht="12.7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ht="12.7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ht="12.7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ht="12.7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ht="12.7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ht="12.7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ht="12.7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ht="12.7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ht="12.7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ht="12.7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ht="12.7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ht="12.7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ht="12.7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ht="12.7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ht="12.7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ht="12.7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ht="12.7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ht="12.7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ht="12.7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ht="12.7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ht="12.7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ht="12.7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ht="12.7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ht="12.7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ht="12.7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ht="12.7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ht="12.7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ht="12.7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ht="12.7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ht="12.7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ht="12.7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ht="12.7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ht="12.7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ht="12.7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ht="12.7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ht="12.7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ht="12.7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ht="12.7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ht="12.7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ht="12.7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ht="12.7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ht="12.7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ht="12.7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ht="12.7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ht="12.7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ht="12.7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sheetData>
  <sheetProtection password="CA9C" sheet="1"/>
  <protectedRanges>
    <protectedRange password="CC5D" sqref="AH16:AH17 T20 W19 V20 AL16:AL17 AZ5 AG31:AG34 AE24 AG24 A19 AE28:AE34 AH10 AE41:AE43 AE27:AG27 S18:T18 R19:U19 AG9:AH9 AH12:AH14 AG11:AH11 AK9:AK17 AE9:AE10 O18:O20 M18:M20 K18:K20 Q18:Q20" name="Aralık1"/>
    <protectedRange password="CC5D" sqref="C46:C47 C33 C8:C9" name="Aralık1_1"/>
    <protectedRange password="CC5D" sqref="C10 C48" name="Aralık1_3_1"/>
    <protectedRange password="CC5D" sqref="C14:D14 C16:D16 C21:D21 C35:D35 C37:D37 C50:D50 C73:D73 C63:D63" name="Aralık1_4"/>
    <protectedRange password="CC5D" sqref="B31:C31 B44:C44 B56:C56 B5:C6" name="Aralık1_2_2"/>
    <protectedRange password="CC5D" sqref="B33 B46:B48 B8:B12 D18:D19 D74:D75 D39:D40 D51:D52 D64:D65" name="Aralık1_5_1"/>
    <protectedRange password="CC5D" sqref="C59:C61" name="Aralık1_1_4"/>
    <protectedRange password="CC5D" sqref="B58:B61" name="Aralık1_5_1_2"/>
    <protectedRange password="CC5D" sqref="C68:C71" name="Aralık1_1_4_1"/>
    <protectedRange password="CC5D" sqref="B67:B71" name="Aralık1_5_1_2_1"/>
    <protectedRange password="CC5D" sqref="J9:J12" name="Aralık1_1_1"/>
  </protectedRanges>
  <mergeCells count="11">
    <mergeCell ref="C6:D6"/>
    <mergeCell ref="B3:D3"/>
    <mergeCell ref="B42:D42"/>
    <mergeCell ref="F8:J8"/>
    <mergeCell ref="B1:D1"/>
    <mergeCell ref="C56:D56"/>
    <mergeCell ref="B54:D54"/>
    <mergeCell ref="C31:D31"/>
    <mergeCell ref="B2:D2"/>
    <mergeCell ref="C44:D44"/>
    <mergeCell ref="B29:D29"/>
  </mergeCells>
  <printOptions/>
  <pageMargins left="0" right="0" top="0.11811023622047245" bottom="0.07874015748031496" header="0" footer="0"/>
  <pageSetup firstPageNumber="1" useFirstPageNumber="1" horizontalDpi="300" verticalDpi="300" orientation="portrait" paperSize="9" scale="85"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AI336"/>
  <sheetViews>
    <sheetView showGridLines="0" zoomScalePageLayoutView="0" workbookViewId="0" topLeftCell="A1">
      <selection activeCell="E1" sqref="E1"/>
    </sheetView>
  </sheetViews>
  <sheetFormatPr defaultColWidth="11.28125" defaultRowHeight="12.75"/>
  <cols>
    <col min="1" max="1" width="2.57421875" style="42" customWidth="1"/>
    <col min="2" max="2" width="8.00390625" style="146" bestFit="1" customWidth="1"/>
    <col min="3" max="3" width="8.421875" style="146" bestFit="1" customWidth="1"/>
    <col min="4" max="4" width="9.421875" style="146" bestFit="1" customWidth="1"/>
    <col min="5" max="5" width="10.7109375" style="146" bestFit="1" customWidth="1"/>
    <col min="6" max="8" width="7.28125" style="146" bestFit="1" customWidth="1"/>
    <col min="9" max="9" width="7.421875" style="146" bestFit="1" customWidth="1"/>
    <col min="10" max="11" width="7.28125" style="146" bestFit="1" customWidth="1"/>
    <col min="12" max="13" width="7.421875" style="146" bestFit="1" customWidth="1"/>
    <col min="14" max="14" width="0.9921875" style="44" customWidth="1"/>
    <col min="15" max="15" width="1.28515625" style="44" customWidth="1"/>
    <col min="16" max="16" width="36.421875" style="45" bestFit="1" customWidth="1"/>
    <col min="17" max="17" width="7.140625" style="45" bestFit="1" customWidth="1"/>
    <col min="18" max="18" width="6.421875" style="45" bestFit="1" customWidth="1"/>
    <col min="19" max="19" width="6.7109375" style="45" bestFit="1" customWidth="1"/>
    <col min="20" max="20" width="18.28125" style="45" bestFit="1" customWidth="1"/>
    <col min="21" max="21" width="7.00390625" style="45" bestFit="1" customWidth="1"/>
    <col min="22" max="22" width="8.57421875" style="45" bestFit="1" customWidth="1"/>
    <col min="23" max="24" width="7.57421875" style="45" bestFit="1" customWidth="1"/>
    <col min="25" max="26" width="6.140625" style="45" customWidth="1"/>
    <col min="27" max="27" width="2.140625" style="45" bestFit="1" customWidth="1"/>
    <col min="28" max="28" width="5.7109375" style="45" customWidth="1"/>
    <col min="29" max="29" width="5.7109375" style="44" customWidth="1"/>
    <col min="30" max="30" width="32.140625" style="44" bestFit="1" customWidth="1"/>
    <col min="31" max="31" width="8.421875" style="44" bestFit="1" customWidth="1"/>
    <col min="32" max="32" width="3.57421875" style="44" bestFit="1" customWidth="1"/>
    <col min="33" max="33" width="4.421875" style="44" bestFit="1" customWidth="1"/>
    <col min="34" max="66" width="5.7109375" style="44" customWidth="1"/>
    <col min="67" max="16384" width="11.28125" style="44" customWidth="1"/>
  </cols>
  <sheetData>
    <row r="1" spans="1:2" ht="14.25" thickBot="1">
      <c r="A1" s="260" t="s">
        <v>150</v>
      </c>
      <c r="B1" s="146" t="s">
        <v>170</v>
      </c>
    </row>
    <row r="2" ht="13.5">
      <c r="B2" s="146" t="s">
        <v>260</v>
      </c>
    </row>
    <row r="3" spans="2:27" ht="13.5">
      <c r="B3" s="395"/>
      <c r="C3" s="396"/>
      <c r="D3" s="396"/>
      <c r="E3" s="396"/>
      <c r="F3" s="396"/>
      <c r="G3" s="396"/>
      <c r="H3" s="396"/>
      <c r="I3" s="396"/>
      <c r="J3" s="396"/>
      <c r="K3" s="396"/>
      <c r="L3" s="397" t="s">
        <v>56</v>
      </c>
      <c r="M3" s="394">
        <v>2024</v>
      </c>
      <c r="P3" s="585" t="s">
        <v>169</v>
      </c>
      <c r="Q3" s="585"/>
      <c r="R3" s="585"/>
      <c r="S3" s="585"/>
      <c r="T3" s="585"/>
      <c r="U3" s="585"/>
      <c r="V3" s="585"/>
      <c r="W3" s="585"/>
      <c r="X3" s="585"/>
      <c r="Y3" s="585"/>
      <c r="Z3" s="585"/>
      <c r="AA3" s="447"/>
    </row>
    <row r="4" spans="2:27" ht="13.5">
      <c r="B4" s="549" t="s">
        <v>103</v>
      </c>
      <c r="C4" s="549"/>
      <c r="D4" s="549"/>
      <c r="E4" s="549"/>
      <c r="F4" s="549"/>
      <c r="G4" s="549"/>
      <c r="H4" s="549"/>
      <c r="I4" s="549"/>
      <c r="J4" s="549"/>
      <c r="K4" s="549"/>
      <c r="L4" s="549"/>
      <c r="M4" s="393" t="s">
        <v>11</v>
      </c>
      <c r="P4" s="448"/>
      <c r="Q4" s="449"/>
      <c r="R4" s="449"/>
      <c r="S4" s="449"/>
      <c r="T4" s="449"/>
      <c r="U4" s="449"/>
      <c r="V4" s="449"/>
      <c r="W4" s="449"/>
      <c r="X4" s="449"/>
      <c r="Y4" s="449"/>
      <c r="Z4" s="449"/>
      <c r="AA4" s="449"/>
    </row>
    <row r="5" spans="16:27" ht="13.5">
      <c r="P5" s="578" t="s">
        <v>258</v>
      </c>
      <c r="Q5" s="578"/>
      <c r="R5" s="578"/>
      <c r="S5" s="578"/>
      <c r="T5" s="578"/>
      <c r="U5" s="578"/>
      <c r="V5" s="578"/>
      <c r="W5" s="578"/>
      <c r="X5" s="578"/>
      <c r="Y5" s="578"/>
      <c r="Z5" s="578"/>
      <c r="AA5" s="578"/>
    </row>
    <row r="6" spans="2:27" ht="13.5">
      <c r="B6" s="490" t="s">
        <v>149</v>
      </c>
      <c r="C6" s="490"/>
      <c r="D6" s="490"/>
      <c r="E6" s="490"/>
      <c r="F6" s="490"/>
      <c r="G6" s="490"/>
      <c r="H6" s="490"/>
      <c r="I6" s="490"/>
      <c r="J6" s="490"/>
      <c r="K6" s="490"/>
      <c r="L6" s="490"/>
      <c r="M6" s="441">
        <v>1</v>
      </c>
      <c r="P6" s="586" t="s">
        <v>156</v>
      </c>
      <c r="Q6" s="586"/>
      <c r="R6" s="586"/>
      <c r="S6" s="586"/>
      <c r="T6" s="586"/>
      <c r="U6" s="586"/>
      <c r="V6" s="586"/>
      <c r="W6" s="586"/>
      <c r="X6" s="586"/>
      <c r="Y6" s="586"/>
      <c r="Z6" s="586"/>
      <c r="AA6" s="449"/>
    </row>
    <row r="7" spans="2:27" ht="13.5">
      <c r="B7" s="490" t="s">
        <v>148</v>
      </c>
      <c r="C7" s="490"/>
      <c r="D7" s="490"/>
      <c r="E7" s="490"/>
      <c r="F7" s="490"/>
      <c r="G7" s="490"/>
      <c r="H7" s="490"/>
      <c r="I7" s="490"/>
      <c r="J7" s="490"/>
      <c r="K7" s="490"/>
      <c r="L7" s="490"/>
      <c r="M7" s="441">
        <v>0.5</v>
      </c>
      <c r="P7" s="539" t="s">
        <v>259</v>
      </c>
      <c r="Q7" s="539"/>
      <c r="R7" s="539"/>
      <c r="S7" s="539"/>
      <c r="T7" s="539"/>
      <c r="U7" s="539"/>
      <c r="V7" s="539"/>
      <c r="W7" s="539"/>
      <c r="X7" s="539"/>
      <c r="Y7" s="539"/>
      <c r="Z7" s="539"/>
      <c r="AA7" s="449"/>
    </row>
    <row r="8" spans="16:27" ht="13.5">
      <c r="P8" s="539" t="s">
        <v>157</v>
      </c>
      <c r="Q8" s="539"/>
      <c r="R8" s="539"/>
      <c r="S8" s="539"/>
      <c r="T8" s="539"/>
      <c r="U8" s="539"/>
      <c r="V8" s="539"/>
      <c r="W8" s="539"/>
      <c r="X8" s="539"/>
      <c r="Y8" s="539"/>
      <c r="Z8" s="539"/>
      <c r="AA8" s="449"/>
    </row>
    <row r="9" spans="2:27" ht="18.75">
      <c r="B9" s="406" t="s">
        <v>235</v>
      </c>
      <c r="P9" s="539" t="s">
        <v>158</v>
      </c>
      <c r="Q9" s="539"/>
      <c r="R9" s="539"/>
      <c r="S9" s="539"/>
      <c r="T9" s="539"/>
      <c r="U9" s="539"/>
      <c r="V9" s="539"/>
      <c r="W9" s="539"/>
      <c r="X9" s="539"/>
      <c r="Y9" s="539"/>
      <c r="Z9" s="539"/>
      <c r="AA9" s="449"/>
    </row>
    <row r="10" spans="16:27" ht="13.5">
      <c r="P10" s="539" t="s">
        <v>159</v>
      </c>
      <c r="Q10" s="539"/>
      <c r="R10" s="539"/>
      <c r="S10" s="539"/>
      <c r="T10" s="539"/>
      <c r="U10" s="539"/>
      <c r="V10" s="539"/>
      <c r="W10" s="539"/>
      <c r="X10" s="539"/>
      <c r="Y10" s="539"/>
      <c r="Z10" s="539"/>
      <c r="AA10" s="449"/>
    </row>
    <row r="11" spans="2:27" ht="13.5">
      <c r="B11" s="405" t="s">
        <v>194</v>
      </c>
      <c r="C11" s="405"/>
      <c r="D11" s="405"/>
      <c r="E11" s="405"/>
      <c r="F11" s="405"/>
      <c r="G11" s="405"/>
      <c r="H11" s="405"/>
      <c r="I11" s="405"/>
      <c r="J11" s="405"/>
      <c r="K11" s="405"/>
      <c r="L11" s="405"/>
      <c r="M11" s="405"/>
      <c r="P11" s="539" t="s">
        <v>160</v>
      </c>
      <c r="Q11" s="539"/>
      <c r="R11" s="539"/>
      <c r="S11" s="539"/>
      <c r="T11" s="539"/>
      <c r="U11" s="539"/>
      <c r="V11" s="539"/>
      <c r="W11" s="539"/>
      <c r="X11" s="539"/>
      <c r="Y11" s="539"/>
      <c r="Z11" s="539"/>
      <c r="AA11" s="449"/>
    </row>
    <row r="12" spans="2:27" ht="13.5">
      <c r="B12" s="491" t="s">
        <v>111</v>
      </c>
      <c r="C12" s="492"/>
      <c r="D12" s="492"/>
      <c r="E12" s="492"/>
      <c r="F12" s="492"/>
      <c r="G12" s="492"/>
      <c r="H12" s="492"/>
      <c r="I12" s="492"/>
      <c r="J12" s="492"/>
      <c r="K12" s="492"/>
      <c r="L12" s="492"/>
      <c r="M12" s="493"/>
      <c r="P12" s="539" t="s">
        <v>161</v>
      </c>
      <c r="Q12" s="539"/>
      <c r="R12" s="539"/>
      <c r="S12" s="539"/>
      <c r="T12" s="539"/>
      <c r="U12" s="539"/>
      <c r="V12" s="539"/>
      <c r="W12" s="539"/>
      <c r="X12" s="539"/>
      <c r="Y12" s="539"/>
      <c r="Z12" s="539"/>
      <c r="AA12" s="449"/>
    </row>
    <row r="13" spans="2:27" ht="13.5">
      <c r="B13" s="398" t="s">
        <v>15</v>
      </c>
      <c r="C13" s="148" t="s">
        <v>9</v>
      </c>
      <c r="D13" s="148" t="s">
        <v>16</v>
      </c>
      <c r="E13" s="148" t="s">
        <v>196</v>
      </c>
      <c r="F13" s="148" t="s">
        <v>197</v>
      </c>
      <c r="G13" s="148" t="s">
        <v>198</v>
      </c>
      <c r="H13" s="148" t="s">
        <v>199</v>
      </c>
      <c r="I13" s="148" t="s">
        <v>200</v>
      </c>
      <c r="J13" s="148" t="s">
        <v>201</v>
      </c>
      <c r="K13" s="148" t="s">
        <v>202</v>
      </c>
      <c r="L13" s="148" t="s">
        <v>203</v>
      </c>
      <c r="M13" s="148" t="s">
        <v>204</v>
      </c>
      <c r="P13" s="539" t="s">
        <v>162</v>
      </c>
      <c r="Q13" s="539"/>
      <c r="R13" s="539"/>
      <c r="S13" s="539"/>
      <c r="T13" s="539"/>
      <c r="U13" s="539"/>
      <c r="V13" s="539"/>
      <c r="W13" s="539"/>
      <c r="X13" s="539"/>
      <c r="Y13" s="539"/>
      <c r="Z13" s="539"/>
      <c r="AA13" s="449"/>
    </row>
    <row r="14" spans="2:27" ht="13.5">
      <c r="B14" s="399" t="s">
        <v>17</v>
      </c>
      <c r="C14" s="256">
        <v>2100</v>
      </c>
      <c r="D14" s="256">
        <v>5250</v>
      </c>
      <c r="E14" s="256">
        <v>12250</v>
      </c>
      <c r="F14" s="256">
        <v>14400</v>
      </c>
      <c r="G14" s="256">
        <v>15300</v>
      </c>
      <c r="H14" s="256">
        <v>17400</v>
      </c>
      <c r="I14" s="256">
        <v>18700</v>
      </c>
      <c r="J14" s="256">
        <v>21300</v>
      </c>
      <c r="K14" s="256">
        <v>22250</v>
      </c>
      <c r="L14" s="256">
        <v>24300</v>
      </c>
      <c r="M14" s="256">
        <v>26800</v>
      </c>
      <c r="P14" s="539" t="s">
        <v>163</v>
      </c>
      <c r="Q14" s="539"/>
      <c r="R14" s="539"/>
      <c r="S14" s="539"/>
      <c r="T14" s="539"/>
      <c r="U14" s="539"/>
      <c r="V14" s="539"/>
      <c r="W14" s="539"/>
      <c r="X14" s="539"/>
      <c r="Y14" s="539"/>
      <c r="Z14" s="539"/>
      <c r="AA14" s="449"/>
    </row>
    <row r="15" spans="2:27" ht="15">
      <c r="B15" s="400" t="s">
        <v>195</v>
      </c>
      <c r="C15" s="148" t="s">
        <v>205</v>
      </c>
      <c r="D15" s="148" t="s">
        <v>205</v>
      </c>
      <c r="E15" s="148" t="s">
        <v>205</v>
      </c>
      <c r="F15" s="148" t="s">
        <v>205</v>
      </c>
      <c r="G15" s="148" t="s">
        <v>205</v>
      </c>
      <c r="H15" s="148" t="s">
        <v>205</v>
      </c>
      <c r="I15" s="148" t="s">
        <v>205</v>
      </c>
      <c r="J15" s="148" t="s">
        <v>205</v>
      </c>
      <c r="K15" s="148" t="s">
        <v>205</v>
      </c>
      <c r="L15" s="148" t="s">
        <v>205</v>
      </c>
      <c r="M15" s="148" t="s">
        <v>205</v>
      </c>
      <c r="P15" s="539" t="s">
        <v>164</v>
      </c>
      <c r="Q15" s="539"/>
      <c r="R15" s="539"/>
      <c r="S15" s="539"/>
      <c r="T15" s="539"/>
      <c r="U15" s="539"/>
      <c r="V15" s="539"/>
      <c r="W15" s="539"/>
      <c r="X15" s="539"/>
      <c r="Y15" s="539"/>
      <c r="Z15" s="539"/>
      <c r="AA15" s="449"/>
    </row>
    <row r="16" spans="16:27" ht="13.5">
      <c r="P16" s="539" t="s">
        <v>165</v>
      </c>
      <c r="Q16" s="539"/>
      <c r="R16" s="539"/>
      <c r="S16" s="539"/>
      <c r="T16" s="539"/>
      <c r="U16" s="539"/>
      <c r="V16" s="539"/>
      <c r="W16" s="539"/>
      <c r="X16" s="539"/>
      <c r="Y16" s="539"/>
      <c r="Z16" s="539"/>
      <c r="AA16" s="449"/>
    </row>
    <row r="17" spans="2:13" ht="13.5">
      <c r="B17" s="404" t="s">
        <v>206</v>
      </c>
      <c r="C17" s="404"/>
      <c r="D17" s="404"/>
      <c r="E17" s="404"/>
      <c r="F17" s="404"/>
      <c r="G17" s="404"/>
      <c r="H17" s="404"/>
      <c r="I17" s="404"/>
      <c r="J17" s="404"/>
      <c r="K17" s="404"/>
      <c r="L17" s="404"/>
      <c r="M17" s="404"/>
    </row>
    <row r="18" spans="2:13" ht="13.5">
      <c r="B18" s="480" t="s">
        <v>233</v>
      </c>
      <c r="C18" s="480"/>
      <c r="D18" s="480"/>
      <c r="E18" s="480"/>
      <c r="F18" s="480"/>
      <c r="G18" s="480"/>
      <c r="H18" s="480"/>
      <c r="I18" s="480"/>
      <c r="J18" s="480"/>
      <c r="K18" s="480"/>
      <c r="L18" s="480"/>
      <c r="M18" s="262">
        <v>13970</v>
      </c>
    </row>
    <row r="19" spans="2:13" ht="13.5">
      <c r="B19" s="480" t="s">
        <v>230</v>
      </c>
      <c r="C19" s="480"/>
      <c r="D19" s="480"/>
      <c r="E19" s="480"/>
      <c r="F19" s="480"/>
      <c r="G19" s="480"/>
      <c r="H19" s="480"/>
      <c r="I19" s="480"/>
      <c r="J19" s="480"/>
      <c r="K19" s="480"/>
      <c r="L19" s="480"/>
      <c r="M19" s="262">
        <v>27020</v>
      </c>
    </row>
    <row r="20" spans="2:13" ht="13.5">
      <c r="B20" s="480" t="s">
        <v>231</v>
      </c>
      <c r="C20" s="480"/>
      <c r="D20" s="480"/>
      <c r="E20" s="480"/>
      <c r="F20" s="480"/>
      <c r="G20" s="480"/>
      <c r="H20" s="480"/>
      <c r="I20" s="480"/>
      <c r="J20" s="480"/>
      <c r="K20" s="480"/>
      <c r="L20" s="480"/>
      <c r="M20" s="262">
        <v>40210</v>
      </c>
    </row>
    <row r="21" spans="2:13" ht="13.5">
      <c r="B21" s="480" t="s">
        <v>232</v>
      </c>
      <c r="C21" s="480"/>
      <c r="D21" s="480"/>
      <c r="E21" s="480"/>
      <c r="F21" s="480"/>
      <c r="G21" s="480"/>
      <c r="H21" s="480"/>
      <c r="I21" s="480"/>
      <c r="J21" s="480"/>
      <c r="K21" s="480"/>
      <c r="L21" s="480"/>
      <c r="M21" s="262">
        <v>40210</v>
      </c>
    </row>
    <row r="22" spans="2:16" ht="13.5">
      <c r="B22" s="45"/>
      <c r="C22" s="45"/>
      <c r="D22" s="45"/>
      <c r="E22" s="45"/>
      <c r="F22" s="45"/>
      <c r="G22" s="45"/>
      <c r="H22" s="45"/>
      <c r="I22" s="45"/>
      <c r="J22" s="45"/>
      <c r="K22" s="45"/>
      <c r="L22" s="45"/>
      <c r="M22" s="45"/>
      <c r="N22" s="45"/>
      <c r="O22" s="45"/>
      <c r="P22" s="44"/>
    </row>
    <row r="23" spans="2:13" ht="13.5">
      <c r="B23" s="404" t="s">
        <v>207</v>
      </c>
      <c r="C23" s="404"/>
      <c r="D23" s="404"/>
      <c r="E23" s="404"/>
      <c r="F23" s="404"/>
      <c r="G23" s="404"/>
      <c r="H23" s="404"/>
      <c r="I23" s="404"/>
      <c r="J23" s="404"/>
      <c r="K23" s="404"/>
      <c r="L23" s="404"/>
      <c r="M23" s="404"/>
    </row>
    <row r="24" spans="2:13" ht="13.5">
      <c r="B24" s="547" t="s">
        <v>102</v>
      </c>
      <c r="C24" s="547"/>
      <c r="D24" s="547"/>
      <c r="E24" s="547"/>
      <c r="F24" s="547"/>
      <c r="G24" s="547"/>
      <c r="H24" s="547"/>
      <c r="I24" s="547"/>
      <c r="J24" s="547"/>
      <c r="K24" s="547"/>
      <c r="L24" s="547"/>
      <c r="M24" s="548"/>
    </row>
    <row r="25" spans="2:13" ht="13.5">
      <c r="B25" s="482"/>
      <c r="C25" s="482"/>
      <c r="D25" s="482"/>
      <c r="E25" s="482"/>
      <c r="F25" s="482"/>
      <c r="G25" s="482"/>
      <c r="H25" s="482"/>
      <c r="I25" s="482"/>
      <c r="J25" s="482"/>
      <c r="K25" s="482"/>
      <c r="L25" s="482"/>
      <c r="M25" s="170" t="s">
        <v>14</v>
      </c>
    </row>
    <row r="26" spans="2:13" ht="15">
      <c r="B26" s="481" t="s">
        <v>208</v>
      </c>
      <c r="C26" s="481"/>
      <c r="D26" s="481"/>
      <c r="E26" s="481"/>
      <c r="F26" s="481"/>
      <c r="G26" s="481"/>
      <c r="H26" s="481"/>
      <c r="I26" s="481"/>
      <c r="J26" s="481"/>
      <c r="K26" s="481"/>
      <c r="L26" s="481"/>
      <c r="M26" s="442">
        <v>5830</v>
      </c>
    </row>
    <row r="27" spans="2:13" ht="15">
      <c r="B27" s="481" t="s">
        <v>216</v>
      </c>
      <c r="C27" s="481"/>
      <c r="D27" s="481"/>
      <c r="E27" s="481"/>
      <c r="F27" s="481"/>
      <c r="G27" s="481"/>
      <c r="H27" s="481"/>
      <c r="I27" s="481"/>
      <c r="J27" s="481"/>
      <c r="K27" s="481"/>
      <c r="L27" s="481"/>
      <c r="M27" s="442">
        <v>8650</v>
      </c>
    </row>
    <row r="28" spans="2:13" ht="15">
      <c r="B28" s="481" t="s">
        <v>215</v>
      </c>
      <c r="C28" s="481"/>
      <c r="D28" s="481"/>
      <c r="E28" s="481"/>
      <c r="F28" s="481"/>
      <c r="G28" s="481"/>
      <c r="H28" s="481"/>
      <c r="I28" s="481"/>
      <c r="J28" s="481"/>
      <c r="K28" s="481"/>
      <c r="L28" s="481"/>
      <c r="M28" s="442">
        <v>15170</v>
      </c>
    </row>
    <row r="29" spans="2:13" ht="15">
      <c r="B29" s="481" t="s">
        <v>214</v>
      </c>
      <c r="C29" s="481"/>
      <c r="D29" s="481"/>
      <c r="E29" s="481"/>
      <c r="F29" s="481"/>
      <c r="G29" s="481"/>
      <c r="H29" s="481"/>
      <c r="I29" s="481"/>
      <c r="J29" s="481"/>
      <c r="K29" s="481"/>
      <c r="L29" s="481"/>
      <c r="M29" s="442">
        <v>18700</v>
      </c>
    </row>
    <row r="30" spans="2:13" ht="15">
      <c r="B30" s="481" t="s">
        <v>213</v>
      </c>
      <c r="C30" s="481"/>
      <c r="D30" s="481"/>
      <c r="E30" s="481"/>
      <c r="F30" s="481"/>
      <c r="G30" s="481"/>
      <c r="H30" s="481"/>
      <c r="I30" s="481"/>
      <c r="J30" s="481"/>
      <c r="K30" s="481"/>
      <c r="L30" s="481"/>
      <c r="M30" s="442">
        <v>28580</v>
      </c>
    </row>
    <row r="31" spans="2:13" ht="15">
      <c r="B31" s="481" t="s">
        <v>212</v>
      </c>
      <c r="C31" s="481"/>
      <c r="D31" s="481"/>
      <c r="E31" s="481"/>
      <c r="F31" s="481"/>
      <c r="G31" s="481"/>
      <c r="H31" s="481"/>
      <c r="I31" s="481"/>
      <c r="J31" s="481"/>
      <c r="K31" s="481"/>
      <c r="L31" s="481"/>
      <c r="M31" s="442">
        <v>39360</v>
      </c>
    </row>
    <row r="32" spans="2:13" ht="15">
      <c r="B32" s="481" t="s">
        <v>211</v>
      </c>
      <c r="C32" s="481"/>
      <c r="D32" s="481"/>
      <c r="E32" s="481"/>
      <c r="F32" s="481"/>
      <c r="G32" s="481"/>
      <c r="H32" s="481"/>
      <c r="I32" s="481"/>
      <c r="J32" s="481"/>
      <c r="K32" s="481"/>
      <c r="L32" s="481"/>
      <c r="M32" s="442">
        <v>51870</v>
      </c>
    </row>
    <row r="33" spans="2:13" ht="15">
      <c r="B33" s="481" t="s">
        <v>210</v>
      </c>
      <c r="C33" s="481"/>
      <c r="D33" s="481"/>
      <c r="E33" s="481"/>
      <c r="F33" s="481"/>
      <c r="G33" s="481"/>
      <c r="H33" s="481"/>
      <c r="I33" s="481"/>
      <c r="J33" s="481"/>
      <c r="K33" s="481"/>
      <c r="L33" s="481"/>
      <c r="M33" s="442">
        <v>100310</v>
      </c>
    </row>
    <row r="34" spans="2:13" ht="15">
      <c r="B34" s="481" t="s">
        <v>209</v>
      </c>
      <c r="C34" s="481"/>
      <c r="D34" s="481"/>
      <c r="E34" s="481"/>
      <c r="F34" s="481"/>
      <c r="G34" s="481"/>
      <c r="H34" s="481"/>
      <c r="I34" s="481"/>
      <c r="J34" s="481"/>
      <c r="K34" s="481"/>
      <c r="L34" s="481"/>
      <c r="M34" s="442">
        <v>158090</v>
      </c>
    </row>
    <row r="35" spans="2:13" ht="13.5">
      <c r="B35" s="44"/>
      <c r="C35" s="44"/>
      <c r="D35" s="44"/>
      <c r="E35" s="44"/>
      <c r="F35" s="44"/>
      <c r="G35" s="78"/>
      <c r="H35" s="44"/>
      <c r="I35" s="44"/>
      <c r="J35" s="44"/>
      <c r="K35" s="44"/>
      <c r="L35" s="44"/>
      <c r="M35" s="44"/>
    </row>
    <row r="36" spans="2:13" ht="18.75">
      <c r="B36" s="406" t="s">
        <v>234</v>
      </c>
      <c r="C36" s="44"/>
      <c r="D36" s="44"/>
      <c r="E36" s="44"/>
      <c r="F36" s="44"/>
      <c r="G36" s="78"/>
      <c r="H36" s="44"/>
      <c r="I36" s="44"/>
      <c r="J36" s="44"/>
      <c r="K36" s="44"/>
      <c r="L36" s="44"/>
      <c r="M36" s="44"/>
    </row>
    <row r="37" spans="2:13" ht="13.5">
      <c r="B37" s="44"/>
      <c r="C37" s="44"/>
      <c r="D37" s="44"/>
      <c r="E37" s="44"/>
      <c r="F37" s="44"/>
      <c r="G37" s="78"/>
      <c r="H37" s="44"/>
      <c r="I37" s="44"/>
      <c r="J37" s="44"/>
      <c r="K37" s="44"/>
      <c r="L37" s="44"/>
      <c r="M37" s="44"/>
    </row>
    <row r="38" spans="2:13" ht="13.5">
      <c r="B38" s="404" t="s">
        <v>217</v>
      </c>
      <c r="C38" s="404"/>
      <c r="D38" s="404"/>
      <c r="E38" s="404"/>
      <c r="F38" s="404"/>
      <c r="G38" s="404"/>
      <c r="H38" s="404"/>
      <c r="I38" s="404"/>
      <c r="J38" s="404"/>
      <c r="K38" s="404"/>
      <c r="L38" s="404"/>
      <c r="M38" s="404"/>
    </row>
    <row r="39" spans="2:13" ht="13.5">
      <c r="B39" s="483" t="s">
        <v>218</v>
      </c>
      <c r="C39" s="483"/>
      <c r="D39" s="483"/>
      <c r="E39" s="483"/>
      <c r="F39" s="483"/>
      <c r="G39" s="483"/>
      <c r="H39" s="483"/>
      <c r="I39" s="483"/>
      <c r="J39" s="483"/>
      <c r="K39" s="483"/>
      <c r="L39" s="483"/>
      <c r="M39" s="443">
        <v>235</v>
      </c>
    </row>
    <row r="40" spans="2:13" ht="13.5">
      <c r="B40" s="483" t="s">
        <v>219</v>
      </c>
      <c r="C40" s="483"/>
      <c r="D40" s="483"/>
      <c r="E40" s="483"/>
      <c r="F40" s="483"/>
      <c r="G40" s="483"/>
      <c r="H40" s="483"/>
      <c r="I40" s="483"/>
      <c r="J40" s="483"/>
      <c r="K40" s="483"/>
      <c r="L40" s="483"/>
      <c r="M40" s="443">
        <v>345</v>
      </c>
    </row>
    <row r="41" spans="2:13" ht="13.5">
      <c r="B41" s="483" t="s">
        <v>220</v>
      </c>
      <c r="C41" s="483"/>
      <c r="D41" s="483"/>
      <c r="E41" s="483"/>
      <c r="F41" s="483"/>
      <c r="G41" s="483"/>
      <c r="H41" s="483"/>
      <c r="I41" s="483"/>
      <c r="J41" s="483"/>
      <c r="K41" s="483"/>
      <c r="L41" s="483"/>
      <c r="M41" s="444"/>
    </row>
    <row r="42" spans="2:13" ht="13.5">
      <c r="B42" s="483" t="s">
        <v>223</v>
      </c>
      <c r="C42" s="483"/>
      <c r="D42" s="483"/>
      <c r="E42" s="483"/>
      <c r="F42" s="483"/>
      <c r="G42" s="483"/>
      <c r="H42" s="483"/>
      <c r="I42" s="483"/>
      <c r="J42" s="483"/>
      <c r="K42" s="483"/>
      <c r="L42" s="483"/>
      <c r="M42" s="443">
        <v>550</v>
      </c>
    </row>
    <row r="43" spans="2:13" ht="13.5">
      <c r="B43" s="483" t="s">
        <v>224</v>
      </c>
      <c r="C43" s="483"/>
      <c r="D43" s="483"/>
      <c r="E43" s="483"/>
      <c r="F43" s="483"/>
      <c r="G43" s="483"/>
      <c r="H43" s="483"/>
      <c r="I43" s="483"/>
      <c r="J43" s="483"/>
      <c r="K43" s="483"/>
      <c r="L43" s="483"/>
      <c r="M43" s="443">
        <v>550</v>
      </c>
    </row>
    <row r="44" spans="2:13" ht="13.5">
      <c r="B44" s="483" t="s">
        <v>221</v>
      </c>
      <c r="C44" s="483"/>
      <c r="D44" s="483"/>
      <c r="E44" s="483"/>
      <c r="F44" s="483"/>
      <c r="G44" s="483"/>
      <c r="H44" s="483"/>
      <c r="I44" s="483"/>
      <c r="J44" s="483"/>
      <c r="K44" s="483"/>
      <c r="L44" s="483"/>
      <c r="M44" s="443">
        <v>1050</v>
      </c>
    </row>
    <row r="45" spans="2:13" ht="13.5">
      <c r="B45" s="483" t="s">
        <v>222</v>
      </c>
      <c r="C45" s="483"/>
      <c r="D45" s="483"/>
      <c r="E45" s="483"/>
      <c r="F45" s="483"/>
      <c r="G45" s="483"/>
      <c r="H45" s="483"/>
      <c r="I45" s="483"/>
      <c r="J45" s="483"/>
      <c r="K45" s="483"/>
      <c r="L45" s="483"/>
      <c r="M45" s="443">
        <v>1470</v>
      </c>
    </row>
    <row r="46" spans="2:13" ht="13.5">
      <c r="B46" s="486"/>
      <c r="C46" s="486"/>
      <c r="D46" s="486"/>
      <c r="E46" s="486"/>
      <c r="F46" s="486"/>
      <c r="G46" s="486"/>
      <c r="H46" s="486"/>
      <c r="I46" s="486"/>
      <c r="J46" s="486"/>
      <c r="K46" s="486"/>
      <c r="L46" s="486"/>
      <c r="M46" s="44"/>
    </row>
    <row r="47" spans="2:13" ht="13.5">
      <c r="B47" s="404" t="s">
        <v>225</v>
      </c>
      <c r="C47" s="404"/>
      <c r="D47" s="404"/>
      <c r="E47" s="404"/>
      <c r="F47" s="404"/>
      <c r="G47" s="404"/>
      <c r="H47" s="404"/>
      <c r="I47" s="404"/>
      <c r="J47" s="404"/>
      <c r="K47" s="404"/>
      <c r="L47" s="404"/>
      <c r="M47" s="404"/>
    </row>
    <row r="48" spans="2:13" ht="13.5">
      <c r="B48" s="480" t="s">
        <v>226</v>
      </c>
      <c r="C48" s="480"/>
      <c r="D48" s="480"/>
      <c r="E48" s="480"/>
      <c r="F48" s="480"/>
      <c r="G48" s="480"/>
      <c r="H48" s="480"/>
      <c r="I48" s="480"/>
      <c r="J48" s="480"/>
      <c r="K48" s="480"/>
      <c r="L48" s="480"/>
      <c r="M48" s="261">
        <v>225</v>
      </c>
    </row>
    <row r="49" spans="2:13" ht="13.5">
      <c r="B49" s="480" t="s">
        <v>227</v>
      </c>
      <c r="C49" s="480"/>
      <c r="D49" s="480"/>
      <c r="E49" s="480"/>
      <c r="F49" s="480"/>
      <c r="G49" s="480"/>
      <c r="H49" s="480"/>
      <c r="I49" s="480"/>
      <c r="J49" s="480"/>
      <c r="K49" s="480"/>
      <c r="L49" s="480"/>
      <c r="M49" s="261">
        <v>510</v>
      </c>
    </row>
    <row r="50" spans="2:13" ht="13.5">
      <c r="B50" s="480" t="s">
        <v>229</v>
      </c>
      <c r="C50" s="480"/>
      <c r="D50" s="480"/>
      <c r="E50" s="480"/>
      <c r="F50" s="480"/>
      <c r="G50" s="480"/>
      <c r="H50" s="480"/>
      <c r="I50" s="480"/>
      <c r="J50" s="480"/>
      <c r="K50" s="480"/>
      <c r="L50" s="480"/>
      <c r="M50" s="261">
        <v>550</v>
      </c>
    </row>
    <row r="51" spans="2:13" ht="13.5">
      <c r="B51" s="480" t="s">
        <v>228</v>
      </c>
      <c r="C51" s="480"/>
      <c r="D51" s="480"/>
      <c r="E51" s="480"/>
      <c r="F51" s="480"/>
      <c r="G51" s="480"/>
      <c r="H51" s="480"/>
      <c r="I51" s="480"/>
      <c r="J51" s="480"/>
      <c r="K51" s="480"/>
      <c r="L51" s="480"/>
      <c r="M51" s="261">
        <v>550</v>
      </c>
    </row>
    <row r="53" ht="13.5">
      <c r="B53" s="450" t="s">
        <v>236</v>
      </c>
    </row>
    <row r="54" spans="2:13" ht="13.5">
      <c r="B54" s="402" t="s">
        <v>241</v>
      </c>
      <c r="C54" s="477" t="s">
        <v>108</v>
      </c>
      <c r="D54" s="478"/>
      <c r="E54" s="478"/>
      <c r="F54" s="478"/>
      <c r="G54" s="478"/>
      <c r="H54" s="478"/>
      <c r="I54" s="478"/>
      <c r="J54" s="478"/>
      <c r="K54" s="478"/>
      <c r="L54" s="479"/>
      <c r="M54" s="442">
        <v>150</v>
      </c>
    </row>
    <row r="55" spans="2:13" ht="13.5">
      <c r="B55" s="402" t="s">
        <v>242</v>
      </c>
      <c r="C55" s="477" t="s">
        <v>237</v>
      </c>
      <c r="D55" s="478"/>
      <c r="E55" s="478"/>
      <c r="F55" s="478"/>
      <c r="G55" s="478"/>
      <c r="H55" s="478"/>
      <c r="I55" s="478"/>
      <c r="J55" s="478"/>
      <c r="K55" s="478"/>
      <c r="L55" s="479"/>
      <c r="M55" s="442">
        <v>310</v>
      </c>
    </row>
    <row r="56" spans="2:13" ht="13.5">
      <c r="B56" s="402" t="s">
        <v>243</v>
      </c>
      <c r="C56" s="477" t="s">
        <v>238</v>
      </c>
      <c r="D56" s="478"/>
      <c r="E56" s="478"/>
      <c r="F56" s="478"/>
      <c r="G56" s="478"/>
      <c r="H56" s="478"/>
      <c r="I56" s="478"/>
      <c r="J56" s="478"/>
      <c r="K56" s="478"/>
      <c r="L56" s="479"/>
      <c r="M56" s="442">
        <v>810</v>
      </c>
    </row>
    <row r="57" spans="2:13" ht="13.5">
      <c r="B57" s="402" t="s">
        <v>244</v>
      </c>
      <c r="C57" s="477" t="s">
        <v>239</v>
      </c>
      <c r="D57" s="478"/>
      <c r="E57" s="478"/>
      <c r="F57" s="478"/>
      <c r="G57" s="478"/>
      <c r="H57" s="478"/>
      <c r="I57" s="478"/>
      <c r="J57" s="478"/>
      <c r="K57" s="478"/>
      <c r="L57" s="479"/>
      <c r="M57" s="442">
        <v>1180</v>
      </c>
    </row>
    <row r="58" spans="2:13" ht="13.5">
      <c r="B58" s="402" t="s">
        <v>245</v>
      </c>
      <c r="C58" s="477" t="s">
        <v>240</v>
      </c>
      <c r="D58" s="478"/>
      <c r="E58" s="478"/>
      <c r="F58" s="478"/>
      <c r="G58" s="478"/>
      <c r="H58" s="478"/>
      <c r="I58" s="478"/>
      <c r="J58" s="478"/>
      <c r="K58" s="478"/>
      <c r="L58" s="479"/>
      <c r="M58" s="442">
        <v>1570</v>
      </c>
    </row>
    <row r="59" spans="2:10" ht="14.25" thickBot="1">
      <c r="B59" s="44"/>
      <c r="C59" s="44"/>
      <c r="D59" s="44"/>
      <c r="E59" s="44"/>
      <c r="F59" s="154"/>
      <c r="G59" s="44"/>
      <c r="H59" s="44"/>
      <c r="I59" s="44"/>
      <c r="J59" s="44"/>
    </row>
    <row r="60" spans="1:28" s="455" customFormat="1" ht="6" thickBot="1" thickTop="1">
      <c r="A60" s="451"/>
      <c r="B60" s="452"/>
      <c r="C60" s="452"/>
      <c r="D60" s="452"/>
      <c r="E60" s="452"/>
      <c r="F60" s="453"/>
      <c r="G60" s="452"/>
      <c r="H60" s="452"/>
      <c r="I60" s="452"/>
      <c r="J60" s="452"/>
      <c r="K60" s="454"/>
      <c r="L60" s="454"/>
      <c r="M60" s="454"/>
      <c r="P60" s="456"/>
      <c r="Q60" s="456"/>
      <c r="R60" s="456"/>
      <c r="S60" s="456"/>
      <c r="T60" s="456"/>
      <c r="U60" s="456"/>
      <c r="V60" s="456"/>
      <c r="W60" s="456"/>
      <c r="X60" s="456"/>
      <c r="Y60" s="456"/>
      <c r="Z60" s="456"/>
      <c r="AA60" s="456"/>
      <c r="AB60" s="456"/>
    </row>
    <row r="61" spans="2:10" ht="15" thickBot="1" thickTop="1">
      <c r="B61" s="44"/>
      <c r="C61" s="44"/>
      <c r="D61" s="44"/>
      <c r="E61" s="44"/>
      <c r="F61" s="154"/>
      <c r="G61" s="44"/>
      <c r="H61" s="44"/>
      <c r="I61" s="44"/>
      <c r="J61" s="44"/>
    </row>
    <row r="62" spans="2:13" ht="14.25" thickBot="1">
      <c r="B62" s="457" t="s">
        <v>167</v>
      </c>
      <c r="C62" s="458" t="str">
        <f>CONCATENATE(M3," Yılı ")</f>
        <v>2024 Yılı </v>
      </c>
      <c r="D62" s="552" t="s">
        <v>166</v>
      </c>
      <c r="E62" s="552"/>
      <c r="F62" s="552"/>
      <c r="G62" s="552"/>
      <c r="H62" s="552"/>
      <c r="I62" s="552"/>
      <c r="J62" s="552"/>
      <c r="K62" s="552"/>
      <c r="L62" s="552"/>
      <c r="M62" s="553"/>
    </row>
    <row r="63" spans="1:28" s="460" customFormat="1" ht="9">
      <c r="A63" s="459"/>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row>
    <row r="64" spans="2:13" ht="13.5">
      <c r="B64" s="546" t="s">
        <v>168</v>
      </c>
      <c r="C64" s="546"/>
      <c r="D64" s="546"/>
      <c r="E64" s="546"/>
      <c r="F64" s="546"/>
      <c r="G64" s="546"/>
      <c r="H64" s="546"/>
      <c r="I64" s="546"/>
      <c r="J64" s="546"/>
      <c r="K64" s="546"/>
      <c r="L64" s="546"/>
      <c r="M64" s="546"/>
    </row>
    <row r="65" spans="2:13" ht="13.5">
      <c r="B65" s="494" t="s">
        <v>257</v>
      </c>
      <c r="C65" s="494"/>
      <c r="D65" s="494"/>
      <c r="E65" s="494"/>
      <c r="F65" s="494"/>
      <c r="G65" s="494"/>
      <c r="H65" s="494"/>
      <c r="I65" s="494"/>
      <c r="J65" s="494"/>
      <c r="K65" s="494"/>
      <c r="L65" s="494"/>
      <c r="M65" s="494"/>
    </row>
    <row r="66" spans="2:13" ht="13.5">
      <c r="B66" s="475" t="s">
        <v>251</v>
      </c>
      <c r="C66" s="475"/>
      <c r="D66" s="475"/>
      <c r="E66" s="475"/>
      <c r="F66" s="475"/>
      <c r="G66" s="475"/>
      <c r="H66" s="475"/>
      <c r="I66" s="475"/>
      <c r="J66" s="475"/>
      <c r="K66" s="475"/>
      <c r="L66" s="475"/>
      <c r="M66" s="445">
        <v>0</v>
      </c>
    </row>
    <row r="67" spans="2:13" ht="13.5">
      <c r="B67" s="494" t="s">
        <v>147</v>
      </c>
      <c r="C67" s="494"/>
      <c r="D67" s="494"/>
      <c r="E67" s="494"/>
      <c r="F67" s="494"/>
      <c r="G67" s="494"/>
      <c r="H67" s="494"/>
      <c r="I67" s="494"/>
      <c r="J67" s="494"/>
      <c r="K67" s="494"/>
      <c r="L67" s="494"/>
      <c r="M67" s="494"/>
    </row>
    <row r="68" spans="2:13" ht="13.5">
      <c r="B68" s="475" t="s">
        <v>255</v>
      </c>
      <c r="C68" s="475"/>
      <c r="D68" s="475"/>
      <c r="E68" s="475"/>
      <c r="F68" s="475"/>
      <c r="G68" s="475"/>
      <c r="H68" s="475"/>
      <c r="I68" s="475"/>
      <c r="J68" s="475"/>
      <c r="K68" s="475"/>
      <c r="L68" s="475"/>
      <c r="M68" s="445">
        <v>0</v>
      </c>
    </row>
    <row r="69" spans="2:13" ht="13.5">
      <c r="B69" s="579" t="s">
        <v>256</v>
      </c>
      <c r="C69" s="579"/>
      <c r="D69" s="579"/>
      <c r="E69" s="579"/>
      <c r="F69" s="579"/>
      <c r="G69" s="579"/>
      <c r="H69" s="579"/>
      <c r="I69" s="579"/>
      <c r="J69" s="579"/>
      <c r="K69" s="579"/>
      <c r="L69" s="579"/>
      <c r="M69" s="445">
        <v>0</v>
      </c>
    </row>
    <row r="70" spans="2:13" ht="13.5">
      <c r="B70" s="494" t="s">
        <v>144</v>
      </c>
      <c r="C70" s="494"/>
      <c r="D70" s="494"/>
      <c r="E70" s="494"/>
      <c r="F70" s="494"/>
      <c r="G70" s="494"/>
      <c r="H70" s="494"/>
      <c r="I70" s="494"/>
      <c r="J70" s="494"/>
      <c r="K70" s="494"/>
      <c r="L70" s="494"/>
      <c r="M70" s="494"/>
    </row>
    <row r="71" spans="2:13" ht="13.5">
      <c r="B71" s="475" t="s">
        <v>252</v>
      </c>
      <c r="C71" s="475"/>
      <c r="D71" s="475"/>
      <c r="E71" s="475"/>
      <c r="F71" s="475"/>
      <c r="G71" s="475"/>
      <c r="H71" s="475"/>
      <c r="I71" s="475"/>
      <c r="J71" s="475"/>
      <c r="K71" s="475"/>
      <c r="L71" s="475"/>
      <c r="M71" s="445">
        <v>0</v>
      </c>
    </row>
    <row r="72" spans="2:13" ht="13.5">
      <c r="B72" s="476" t="s">
        <v>145</v>
      </c>
      <c r="C72" s="476"/>
      <c r="D72" s="476"/>
      <c r="E72" s="476"/>
      <c r="F72" s="476"/>
      <c r="G72" s="476"/>
      <c r="H72" s="476"/>
      <c r="I72" s="476"/>
      <c r="J72" s="476"/>
      <c r="K72" s="476"/>
      <c r="L72" s="476"/>
      <c r="M72" s="476"/>
    </row>
    <row r="73" spans="2:13" ht="13.5">
      <c r="B73" s="554" t="s">
        <v>135</v>
      </c>
      <c r="C73" s="555"/>
      <c r="D73" s="555"/>
      <c r="E73" s="555"/>
      <c r="F73" s="555"/>
      <c r="G73" s="555"/>
      <c r="H73" s="555"/>
      <c r="I73" s="555"/>
      <c r="J73" s="555"/>
      <c r="K73" s="555"/>
      <c r="L73" s="555"/>
      <c r="M73" s="556"/>
    </row>
    <row r="74" spans="2:13" ht="13.5">
      <c r="B74" s="475" t="s">
        <v>253</v>
      </c>
      <c r="C74" s="475"/>
      <c r="D74" s="475"/>
      <c r="E74" s="475"/>
      <c r="F74" s="475"/>
      <c r="G74" s="475"/>
      <c r="H74" s="475"/>
      <c r="I74" s="475"/>
      <c r="J74" s="475"/>
      <c r="K74" s="475"/>
      <c r="L74" s="475"/>
      <c r="M74" s="445">
        <v>0</v>
      </c>
    </row>
    <row r="75" spans="2:13" ht="13.5">
      <c r="B75" s="475" t="s">
        <v>254</v>
      </c>
      <c r="C75" s="475"/>
      <c r="D75" s="475"/>
      <c r="E75" s="475"/>
      <c r="F75" s="475"/>
      <c r="G75" s="475"/>
      <c r="H75" s="475"/>
      <c r="I75" s="475"/>
      <c r="J75" s="475"/>
      <c r="K75" s="475"/>
      <c r="L75" s="475"/>
      <c r="M75" s="445">
        <v>0</v>
      </c>
    </row>
    <row r="76" spans="2:13" ht="13.5">
      <c r="B76" s="485" t="s">
        <v>146</v>
      </c>
      <c r="C76" s="485"/>
      <c r="D76" s="485"/>
      <c r="E76" s="485"/>
      <c r="F76" s="485"/>
      <c r="G76" s="485"/>
      <c r="H76" s="485"/>
      <c r="I76" s="485"/>
      <c r="J76" s="485"/>
      <c r="K76" s="485"/>
      <c r="L76" s="485"/>
      <c r="M76" s="485"/>
    </row>
    <row r="77" spans="2:9" ht="13.5">
      <c r="B77" s="44"/>
      <c r="C77" s="44"/>
      <c r="D77" s="44"/>
      <c r="E77" s="44"/>
      <c r="F77" s="44"/>
      <c r="G77" s="44"/>
      <c r="H77" s="44"/>
      <c r="I77" s="44"/>
    </row>
    <row r="78" spans="2:13" ht="13.5">
      <c r="B78" s="421" t="s">
        <v>167</v>
      </c>
      <c r="C78" s="422" t="str">
        <f>CONCATENATE(M3," Yılı ")</f>
        <v>2024 Yılı </v>
      </c>
      <c r="D78" s="484" t="s">
        <v>166</v>
      </c>
      <c r="E78" s="484"/>
      <c r="F78" s="484"/>
      <c r="G78" s="484"/>
      <c r="H78" s="484"/>
      <c r="I78" s="484"/>
      <c r="J78" s="484"/>
      <c r="K78" s="484"/>
      <c r="L78" s="484"/>
      <c r="M78" s="484"/>
    </row>
    <row r="79" spans="2:13" ht="13.5">
      <c r="B79" s="532" t="s">
        <v>250</v>
      </c>
      <c r="C79" s="532"/>
      <c r="D79" s="532"/>
      <c r="E79" s="532"/>
      <c r="F79" s="532"/>
      <c r="G79" s="532"/>
      <c r="H79" s="532"/>
      <c r="I79" s="532"/>
      <c r="J79" s="532"/>
      <c r="K79" s="532"/>
      <c r="L79" s="532"/>
      <c r="M79" s="532"/>
    </row>
    <row r="80" spans="2:13" ht="13.5">
      <c r="B80" s="475" t="str">
        <f>CONCATENATE("A: ",M3," yılı için (xxx,xx.-TL) olmak üzere :")</f>
        <v>A: 2024 yılı için (xxx,xx.-TL) olmak üzere :</v>
      </c>
      <c r="C80" s="475"/>
      <c r="D80" s="475"/>
      <c r="E80" s="475"/>
      <c r="F80" s="475"/>
      <c r="G80" s="475"/>
      <c r="H80" s="475"/>
      <c r="I80" s="475"/>
      <c r="J80" s="475"/>
      <c r="K80" s="475"/>
      <c r="L80" s="475"/>
      <c r="M80" s="446">
        <v>0</v>
      </c>
    </row>
    <row r="81" spans="2:10" ht="13.5">
      <c r="B81" s="44"/>
      <c r="C81" s="44"/>
      <c r="D81" s="44"/>
      <c r="E81" s="44"/>
      <c r="F81" s="154"/>
      <c r="G81" s="44"/>
      <c r="H81" s="44"/>
      <c r="I81" s="44"/>
      <c r="J81" s="44"/>
    </row>
    <row r="82" spans="2:10" ht="13.5">
      <c r="B82" s="44"/>
      <c r="C82" s="44"/>
      <c r="D82" s="44"/>
      <c r="E82" s="44"/>
      <c r="F82" s="154"/>
      <c r="G82" s="44"/>
      <c r="H82" s="44"/>
      <c r="I82" s="44"/>
      <c r="J82" s="44"/>
    </row>
    <row r="83" spans="2:10" ht="13.5">
      <c r="B83" s="44"/>
      <c r="C83" s="44"/>
      <c r="D83" s="44"/>
      <c r="E83" s="44"/>
      <c r="F83" s="154"/>
      <c r="G83" s="44"/>
      <c r="H83" s="44"/>
      <c r="I83" s="44"/>
      <c r="J83" s="44"/>
    </row>
    <row r="84" spans="2:10" ht="13.5">
      <c r="B84" s="44"/>
      <c r="C84" s="44"/>
      <c r="D84" s="44"/>
      <c r="E84" s="44"/>
      <c r="F84" s="154"/>
      <c r="G84" s="44"/>
      <c r="H84" s="44"/>
      <c r="I84" s="44"/>
      <c r="J84" s="44"/>
    </row>
    <row r="85" spans="2:10" ht="13.5">
      <c r="B85" s="44"/>
      <c r="C85" s="44"/>
      <c r="D85" s="44"/>
      <c r="E85" s="44"/>
      <c r="F85" s="154"/>
      <c r="G85" s="44"/>
      <c r="H85" s="44"/>
      <c r="I85" s="44"/>
      <c r="J85" s="44"/>
    </row>
    <row r="86" spans="2:22" ht="13.5">
      <c r="B86" s="407"/>
      <c r="C86" s="407"/>
      <c r="D86" s="407"/>
      <c r="E86" s="407"/>
      <c r="F86" s="408"/>
      <c r="G86" s="407"/>
      <c r="H86" s="407"/>
      <c r="I86" s="407"/>
      <c r="J86" s="407"/>
      <c r="K86" s="409"/>
      <c r="L86" s="409"/>
      <c r="M86" s="409"/>
      <c r="N86" s="409"/>
      <c r="O86" s="409"/>
      <c r="P86" s="409"/>
      <c r="Q86" s="409"/>
      <c r="R86" s="409"/>
      <c r="S86" s="409"/>
      <c r="T86" s="409"/>
      <c r="U86" s="409"/>
      <c r="V86" s="409"/>
    </row>
    <row r="87" spans="2:10" ht="13.5">
      <c r="B87" s="44"/>
      <c r="C87" s="44"/>
      <c r="D87" s="44"/>
      <c r="E87" s="44"/>
      <c r="F87" s="154"/>
      <c r="G87" s="44"/>
      <c r="H87" s="44"/>
      <c r="I87" s="44"/>
      <c r="J87" s="44"/>
    </row>
    <row r="88" spans="2:10" ht="13.5">
      <c r="B88" s="44"/>
      <c r="C88" s="44"/>
      <c r="D88" s="44"/>
      <c r="E88" s="44"/>
      <c r="F88" s="154"/>
      <c r="G88" s="44"/>
      <c r="H88" s="44"/>
      <c r="I88" s="44"/>
      <c r="J88" s="44"/>
    </row>
    <row r="89" spans="2:10" ht="13.5">
      <c r="B89" s="44"/>
      <c r="C89" s="44"/>
      <c r="D89" s="44"/>
      <c r="E89" s="44"/>
      <c r="F89" s="154"/>
      <c r="G89" s="44"/>
      <c r="H89" s="44"/>
      <c r="I89" s="44"/>
      <c r="J89" s="44"/>
    </row>
    <row r="90" spans="2:10" ht="13.5">
      <c r="B90" s="44"/>
      <c r="C90" s="44"/>
      <c r="D90" s="44"/>
      <c r="E90" s="44"/>
      <c r="F90" s="154"/>
      <c r="G90" s="44"/>
      <c r="H90" s="44"/>
      <c r="I90" s="44"/>
      <c r="J90" s="44"/>
    </row>
    <row r="91" spans="2:10" ht="14.25" thickBot="1">
      <c r="B91" s="44"/>
      <c r="C91" s="44"/>
      <c r="D91" s="44"/>
      <c r="E91" s="44"/>
      <c r="F91" s="154"/>
      <c r="G91" s="44"/>
      <c r="H91" s="44"/>
      <c r="I91" s="44"/>
      <c r="J91" s="44"/>
    </row>
    <row r="92" spans="2:22" ht="16.5" thickBot="1">
      <c r="B92" s="529" t="s">
        <v>111</v>
      </c>
      <c r="C92" s="530"/>
      <c r="D92" s="530"/>
      <c r="E92" s="530"/>
      <c r="F92" s="530"/>
      <c r="G92" s="530"/>
      <c r="H92" s="530"/>
      <c r="I92" s="530"/>
      <c r="J92" s="530"/>
      <c r="K92" s="530"/>
      <c r="L92" s="530"/>
      <c r="M92" s="531"/>
      <c r="P92" s="487" t="s">
        <v>112</v>
      </c>
      <c r="Q92" s="488"/>
      <c r="R92" s="488"/>
      <c r="S92" s="488"/>
      <c r="T92" s="488"/>
      <c r="U92" s="488"/>
      <c r="V92" s="489"/>
    </row>
    <row r="93" spans="2:22" ht="13.5">
      <c r="B93" s="491" t="str">
        <f>CONCATENATE("01.01.",M3,"-","31.12.",(M3)," tarihleri arasında geçerlidir")</f>
        <v>01.01.2024-31.12.2024 tarihleri arasında geçerlidir</v>
      </c>
      <c r="C93" s="492"/>
      <c r="D93" s="492"/>
      <c r="E93" s="492"/>
      <c r="F93" s="492"/>
      <c r="G93" s="492"/>
      <c r="H93" s="492"/>
      <c r="I93" s="492"/>
      <c r="J93" s="492"/>
      <c r="K93" s="492"/>
      <c r="L93" s="492"/>
      <c r="M93" s="493"/>
      <c r="P93" s="168" t="s">
        <v>13</v>
      </c>
      <c r="Q93" s="169">
        <f>HESAP!C9</f>
        <v>1</v>
      </c>
      <c r="R93" s="47"/>
      <c r="S93" s="47"/>
      <c r="T93" s="170" t="s">
        <v>68</v>
      </c>
      <c r="U93" s="257">
        <f>IF(KOD!M4="+",0.5,1)</f>
        <v>0.5</v>
      </c>
      <c r="V93" s="51"/>
    </row>
    <row r="94" spans="2:22" ht="13.5">
      <c r="B94" s="147" t="s">
        <v>15</v>
      </c>
      <c r="C94" s="148" t="s">
        <v>9</v>
      </c>
      <c r="D94" s="148" t="s">
        <v>16</v>
      </c>
      <c r="E94" s="148" t="s">
        <v>8</v>
      </c>
      <c r="F94" s="148" t="s">
        <v>7</v>
      </c>
      <c r="G94" s="148" t="s">
        <v>6</v>
      </c>
      <c r="H94" s="148" t="s">
        <v>5</v>
      </c>
      <c r="I94" s="148" t="s">
        <v>1</v>
      </c>
      <c r="J94" s="148" t="s">
        <v>0</v>
      </c>
      <c r="K94" s="148" t="s">
        <v>4</v>
      </c>
      <c r="L94" s="148" t="s">
        <v>3</v>
      </c>
      <c r="M94" s="148" t="s">
        <v>2</v>
      </c>
      <c r="P94" s="48" t="s">
        <v>48</v>
      </c>
      <c r="Q94" s="429">
        <f>HESAP!C11</f>
        <v>0</v>
      </c>
      <c r="R94" s="47"/>
      <c r="S94" s="47"/>
      <c r="T94" s="55" t="s">
        <v>69</v>
      </c>
      <c r="U94" s="49">
        <f>HESAP!C10</f>
        <v>0</v>
      </c>
      <c r="V94" s="427">
        <f>HESAP!C10</f>
        <v>0</v>
      </c>
    </row>
    <row r="95" spans="2:22" ht="13.5">
      <c r="B95" s="147" t="s">
        <v>17</v>
      </c>
      <c r="C95" s="401">
        <f aca="true" t="shared" si="0" ref="C95:M95">C14</f>
        <v>2100</v>
      </c>
      <c r="D95" s="401">
        <f t="shared" si="0"/>
        <v>5250</v>
      </c>
      <c r="E95" s="401">
        <f t="shared" si="0"/>
        <v>12250</v>
      </c>
      <c r="F95" s="401">
        <f t="shared" si="0"/>
        <v>14400</v>
      </c>
      <c r="G95" s="401">
        <f t="shared" si="0"/>
        <v>15300</v>
      </c>
      <c r="H95" s="401">
        <f t="shared" si="0"/>
        <v>17400</v>
      </c>
      <c r="I95" s="401">
        <f t="shared" si="0"/>
        <v>18700</v>
      </c>
      <c r="J95" s="401">
        <f t="shared" si="0"/>
        <v>21300</v>
      </c>
      <c r="K95" s="401">
        <f t="shared" si="0"/>
        <v>22250</v>
      </c>
      <c r="L95" s="401">
        <f t="shared" si="0"/>
        <v>24300</v>
      </c>
      <c r="M95" s="401">
        <f t="shared" si="0"/>
        <v>26800</v>
      </c>
      <c r="P95" s="57"/>
      <c r="Q95" s="47"/>
      <c r="R95" s="47"/>
      <c r="S95" s="47"/>
      <c r="T95" s="47"/>
      <c r="U95" s="47"/>
      <c r="V95" s="51"/>
    </row>
    <row r="96" spans="2:25" ht="15">
      <c r="B96" s="400" t="s">
        <v>195</v>
      </c>
      <c r="C96" s="148" t="s">
        <v>205</v>
      </c>
      <c r="D96" s="148" t="s">
        <v>205</v>
      </c>
      <c r="E96" s="148" t="s">
        <v>205</v>
      </c>
      <c r="F96" s="148" t="s">
        <v>205</v>
      </c>
      <c r="G96" s="148" t="s">
        <v>205</v>
      </c>
      <c r="H96" s="148" t="s">
        <v>205</v>
      </c>
      <c r="I96" s="148" t="s">
        <v>205</v>
      </c>
      <c r="J96" s="148" t="s">
        <v>205</v>
      </c>
      <c r="K96" s="148" t="s">
        <v>205</v>
      </c>
      <c r="L96" s="148" t="s">
        <v>205</v>
      </c>
      <c r="M96" s="148" t="s">
        <v>205</v>
      </c>
      <c r="P96" s="57"/>
      <c r="Q96" s="47"/>
      <c r="R96" s="47"/>
      <c r="S96" s="47"/>
      <c r="T96" s="47"/>
      <c r="U96" s="47"/>
      <c r="V96" s="51"/>
      <c r="Y96" s="426"/>
    </row>
    <row r="97" spans="2:22" ht="13.5">
      <c r="B97" s="149">
        <v>250</v>
      </c>
      <c r="C97" s="253">
        <f aca="true" t="shared" si="1" ref="C97:C140">((B97*$C$95*C199*$M$6/100)*$M$7)*1</f>
        <v>11471.25</v>
      </c>
      <c r="D97" s="253">
        <f aca="true" t="shared" si="2" ref="D97:D140">((B97*$D$95*D199*$M$6/100)*$M$7)*1</f>
        <v>32353.125</v>
      </c>
      <c r="E97" s="253">
        <f aca="true" t="shared" si="3" ref="E97:E140">((B97*$E$95*E199*$M$6/100)*$M$7)*1</f>
        <v>84065.625</v>
      </c>
      <c r="F97" s="253">
        <f aca="true" t="shared" si="4" ref="F97:F140">((B97*$F$95*F199*$M$6/100)*$M$7)*1</f>
        <v>98820</v>
      </c>
      <c r="G97" s="253">
        <f aca="true" t="shared" si="5" ref="G97:G140">((B97*$G$95*G199*$M$6/100)*$M$7)*1</f>
        <v>131006.25</v>
      </c>
      <c r="H97" s="253">
        <f aca="true" t="shared" si="6" ref="H97:H140">((B97*$H$95*H199*$M$6/100)*$M$7)*1</f>
        <v>148987.5</v>
      </c>
      <c r="I97" s="253">
        <f aca="true" t="shared" si="7" ref="I97:I140">((B97*$I$95*I199*$M$6/100)*$M$7)*1</f>
        <v>160118.75</v>
      </c>
      <c r="J97" s="253">
        <f aca="true" t="shared" si="8" ref="J97:J140">((B97*$J$95*J199*$M$6/100)*$M$7)*1</f>
        <v>175991.25</v>
      </c>
      <c r="K97" s="253">
        <f aca="true" t="shared" si="9" ref="K97:K140">((B97*$K$95*K199*$M$6/100)*$M$7)*1</f>
        <v>183840.625</v>
      </c>
      <c r="L97" s="253">
        <f aca="true" t="shared" si="10" ref="L97:L140">((B97*$L$95*L199*$M$6/100)*$M$7)*1</f>
        <v>200778.75</v>
      </c>
      <c r="M97" s="253">
        <f aca="true" t="shared" si="11" ref="M97:M140">((B97*$M$95*M199*$M$6/100)*$M$7)*1</f>
        <v>221435</v>
      </c>
      <c r="P97" s="576" t="s">
        <v>12</v>
      </c>
      <c r="Q97" s="577"/>
      <c r="R97" s="577"/>
      <c r="S97" s="58"/>
      <c r="T97" s="561" t="s">
        <v>80</v>
      </c>
      <c r="U97" s="562"/>
      <c r="V97" s="563"/>
    </row>
    <row r="98" spans="2:22" ht="13.5">
      <c r="B98" s="150">
        <v>300</v>
      </c>
      <c r="C98" s="254">
        <f t="shared" si="1"/>
        <v>13482</v>
      </c>
      <c r="D98" s="254">
        <f t="shared" si="2"/>
        <v>38115</v>
      </c>
      <c r="E98" s="254">
        <f t="shared" si="3"/>
        <v>99225</v>
      </c>
      <c r="F98" s="254">
        <f t="shared" si="4"/>
        <v>116640</v>
      </c>
      <c r="G98" s="254">
        <f t="shared" si="5"/>
        <v>136782</v>
      </c>
      <c r="H98" s="254">
        <f t="shared" si="6"/>
        <v>155556</v>
      </c>
      <c r="I98" s="254">
        <f t="shared" si="7"/>
        <v>167178</v>
      </c>
      <c r="J98" s="254">
        <f t="shared" si="8"/>
        <v>208314</v>
      </c>
      <c r="K98" s="254">
        <f t="shared" si="9"/>
        <v>217605</v>
      </c>
      <c r="L98" s="254">
        <f t="shared" si="10"/>
        <v>237654</v>
      </c>
      <c r="M98" s="254">
        <f t="shared" si="11"/>
        <v>262104</v>
      </c>
      <c r="P98" s="244">
        <f>IF(HESAP!C8&lt;250,250,IF(HESAP!C8&gt;80000,80000,HESAP!C8))</f>
        <v>250</v>
      </c>
      <c r="Q98" s="50" t="s">
        <v>49</v>
      </c>
      <c r="R98" s="50" t="s">
        <v>43</v>
      </c>
      <c r="S98" s="58"/>
      <c r="T98" s="245">
        <f>IF(HESAP!C8&lt;250,250,IF(HESAP!C8&gt;80000,80000,HESAP!C8))</f>
        <v>250</v>
      </c>
      <c r="U98" s="50" t="s">
        <v>49</v>
      </c>
      <c r="V98" s="59" t="s">
        <v>43</v>
      </c>
    </row>
    <row r="99" spans="2:22" ht="12.75">
      <c r="B99" s="150">
        <v>400</v>
      </c>
      <c r="C99" s="254">
        <f t="shared" si="1"/>
        <v>17219.999999999996</v>
      </c>
      <c r="D99" s="254">
        <f t="shared" si="2"/>
        <v>48930</v>
      </c>
      <c r="E99" s="254">
        <f t="shared" si="3"/>
        <v>127890</v>
      </c>
      <c r="F99" s="254">
        <f t="shared" si="4"/>
        <v>150336</v>
      </c>
      <c r="G99" s="254">
        <f t="shared" si="5"/>
        <v>176868</v>
      </c>
      <c r="H99" s="254">
        <f t="shared" si="6"/>
        <v>201144</v>
      </c>
      <c r="I99" s="254">
        <f t="shared" si="7"/>
        <v>216172</v>
      </c>
      <c r="J99" s="254">
        <f t="shared" si="8"/>
        <v>270084</v>
      </c>
      <c r="K99" s="254">
        <f t="shared" si="9"/>
        <v>282130</v>
      </c>
      <c r="L99" s="254">
        <f t="shared" si="10"/>
        <v>308124</v>
      </c>
      <c r="M99" s="254">
        <f t="shared" si="11"/>
        <v>339824</v>
      </c>
      <c r="P99" s="60" t="s">
        <v>55</v>
      </c>
      <c r="Q99" s="61">
        <f>HESAP!C8</f>
        <v>250</v>
      </c>
      <c r="R99" s="62">
        <f>IF((250&lt;=P98&lt;=80000),R103,R104)</f>
        <v>11471.25</v>
      </c>
      <c r="S99" s="58"/>
      <c r="T99" s="50" t="s">
        <v>55</v>
      </c>
      <c r="U99" s="61">
        <f>HESAP!C8</f>
        <v>250</v>
      </c>
      <c r="V99" s="63">
        <f>IF((250&lt;=T98&lt;=80000),V103,V104)</f>
        <v>0</v>
      </c>
    </row>
    <row r="100" spans="2:22" ht="12.75">
      <c r="B100" s="150">
        <v>500</v>
      </c>
      <c r="C100" s="254">
        <f t="shared" si="1"/>
        <v>20580</v>
      </c>
      <c r="D100" s="254">
        <f t="shared" si="2"/>
        <v>58800.00000000001</v>
      </c>
      <c r="E100" s="254">
        <f t="shared" si="3"/>
        <v>154350</v>
      </c>
      <c r="F100" s="254">
        <f t="shared" si="4"/>
        <v>181440</v>
      </c>
      <c r="G100" s="254">
        <f t="shared" si="5"/>
        <v>214200</v>
      </c>
      <c r="H100" s="254">
        <f t="shared" si="6"/>
        <v>243600</v>
      </c>
      <c r="I100" s="254">
        <f t="shared" si="7"/>
        <v>261800</v>
      </c>
      <c r="J100" s="254">
        <f t="shared" si="8"/>
        <v>328020</v>
      </c>
      <c r="K100" s="254">
        <f t="shared" si="9"/>
        <v>342650</v>
      </c>
      <c r="L100" s="254">
        <f t="shared" si="10"/>
        <v>374220</v>
      </c>
      <c r="M100" s="254">
        <f t="shared" si="11"/>
        <v>412720</v>
      </c>
      <c r="P100" s="237" t="s">
        <v>54</v>
      </c>
      <c r="Q100" s="238">
        <f>Q109+Q110</f>
        <v>300</v>
      </c>
      <c r="R100" s="238">
        <f>VLOOKUP(Q100,B97:M140,IF(AND(Q93=1),2,0)+IF(AND(Q93=2),3,0)+IF(AND(Q93="3a"),4,0)+IF(AND(Q93="3b"),5,0)+IF(AND(Q93="4a"),6,0)+IF(AND(Q93="4b"),7,0)+IF(AND(Q93="4c"),8,0)+IF(AND(Q93="5a"),9,0)+IF(AND(Q93="5b"),10,0)+IF(AND(Q93="5c"),11,0)+IF(AND(Q93="5d"),12,0))</f>
        <v>13482</v>
      </c>
      <c r="S100" s="58"/>
      <c r="T100" s="239" t="s">
        <v>54</v>
      </c>
      <c r="U100" s="238">
        <f>U109+U110</f>
        <v>300</v>
      </c>
      <c r="V100" s="240">
        <f>VLOOKUP(Q100,B147:M190,IF(AND(Q93=1),2,0)+IF(AND(Q93=2),3,0)+IF(AND(Q93="3a"),4,0)+IF(AND(Q93="3b"),5,0)+IF(AND(Q93="4a"),6,0)+IF(AND(Q93="4b"),7,0)+IF(AND(Q93="4c"),8,0)+IF(AND(Q93="5a"),9,0)+IF(AND(Q93="5b"),10,0)+IF(AND(Q93="5c"),11,0)+IF(AND(Q93="5d"),12,0))</f>
        <v>0</v>
      </c>
    </row>
    <row r="101" spans="2:22" ht="13.5">
      <c r="B101" s="150">
        <v>600</v>
      </c>
      <c r="C101" s="254">
        <f t="shared" si="1"/>
        <v>23562</v>
      </c>
      <c r="D101" s="254">
        <f t="shared" si="2"/>
        <v>67725</v>
      </c>
      <c r="E101" s="254">
        <f t="shared" si="3"/>
        <v>178605</v>
      </c>
      <c r="F101" s="254">
        <f t="shared" si="4"/>
        <v>209952</v>
      </c>
      <c r="G101" s="254">
        <f t="shared" si="5"/>
        <v>248778</v>
      </c>
      <c r="H101" s="254">
        <f t="shared" si="6"/>
        <v>282924</v>
      </c>
      <c r="I101" s="254">
        <f t="shared" si="7"/>
        <v>304062</v>
      </c>
      <c r="J101" s="254">
        <f t="shared" si="8"/>
        <v>382122</v>
      </c>
      <c r="K101" s="254">
        <f t="shared" si="9"/>
        <v>399165</v>
      </c>
      <c r="L101" s="254">
        <f t="shared" si="10"/>
        <v>435942</v>
      </c>
      <c r="M101" s="254">
        <f t="shared" si="11"/>
        <v>480792</v>
      </c>
      <c r="P101" s="241" t="s">
        <v>53</v>
      </c>
      <c r="Q101" s="232">
        <f>R109+R110</f>
        <v>250</v>
      </c>
      <c r="R101" s="232">
        <f>VLOOKUP(Q101,B97:M140,IF(AND(Q93=1),2,0)+IF(AND(Q93=2),3,0)+IF(AND(Q93="3a"),4,0)+IF(AND(Q93="3b"),5,0)+IF(AND(Q93="4a"),6,0)+IF(AND(Q93="4b"),7,0)+IF(AND(Q93="4c"),8,0)+IF(AND(Q93="5a"),9,0)+IF(AND(Q93="5b"),10,0)+IF(AND(Q93="5c"),11,0)+IF(AND(Q93="5d"),12,0))</f>
        <v>11471.25</v>
      </c>
      <c r="S101" s="58"/>
      <c r="T101" s="242" t="s">
        <v>53</v>
      </c>
      <c r="U101" s="232">
        <f>V109+V110</f>
        <v>250</v>
      </c>
      <c r="V101" s="243">
        <f>VLOOKUP(Q101,B147:M190,IF(AND(Q93=1),2,0)+IF(AND(Q93=2),3,0)+IF(AND(Q93="3a"),4,0)+IF(AND(Q93="3b"),5,0)+IF(AND(Q93="4a"),6,0)+IF(AND(Q93="4b"),7,0)+IF(AND(Q93="4c"),8,0)+IF(AND(Q93="5a"),9,0)+IF(AND(Q93="5b"),10,0)+IF(AND(Q93="5c"),11,0)+IF(AND(Q93="5d"),12,0))</f>
        <v>0</v>
      </c>
    </row>
    <row r="102" spans="2:22" ht="13.5">
      <c r="B102" s="150">
        <v>700</v>
      </c>
      <c r="C102" s="254">
        <f t="shared" si="1"/>
        <v>26166</v>
      </c>
      <c r="D102" s="254">
        <f t="shared" si="2"/>
        <v>75705</v>
      </c>
      <c r="E102" s="254">
        <f t="shared" si="3"/>
        <v>200655</v>
      </c>
      <c r="F102" s="254">
        <f t="shared" si="4"/>
        <v>235872</v>
      </c>
      <c r="G102" s="254">
        <f t="shared" si="5"/>
        <v>280602</v>
      </c>
      <c r="H102" s="254">
        <f t="shared" si="6"/>
        <v>319116</v>
      </c>
      <c r="I102" s="254">
        <f t="shared" si="7"/>
        <v>342958</v>
      </c>
      <c r="J102" s="254">
        <f t="shared" si="8"/>
        <v>432390</v>
      </c>
      <c r="K102" s="254">
        <f t="shared" si="9"/>
        <v>451675</v>
      </c>
      <c r="L102" s="254">
        <f t="shared" si="10"/>
        <v>493290</v>
      </c>
      <c r="M102" s="254">
        <f t="shared" si="11"/>
        <v>544040</v>
      </c>
      <c r="P102" s="234" t="s">
        <v>44</v>
      </c>
      <c r="Q102" s="233">
        <f>Q100-Q101</f>
        <v>50</v>
      </c>
      <c r="R102" s="233">
        <f>(R100-R101)</f>
        <v>2010.75</v>
      </c>
      <c r="S102" s="58"/>
      <c r="T102" s="235" t="s">
        <v>44</v>
      </c>
      <c r="U102" s="233">
        <f>U100-U101</f>
        <v>50</v>
      </c>
      <c r="V102" s="236">
        <f>(V100-V101)</f>
        <v>0</v>
      </c>
    </row>
    <row r="103" spans="2:22" ht="13.5">
      <c r="B103" s="150">
        <v>800</v>
      </c>
      <c r="C103" s="254">
        <f t="shared" si="1"/>
        <v>28392</v>
      </c>
      <c r="D103" s="254">
        <f t="shared" si="2"/>
        <v>82740</v>
      </c>
      <c r="E103" s="254">
        <f t="shared" si="3"/>
        <v>220500</v>
      </c>
      <c r="F103" s="254">
        <f t="shared" si="4"/>
        <v>259200</v>
      </c>
      <c r="G103" s="254">
        <f t="shared" si="5"/>
        <v>309671.99999999994</v>
      </c>
      <c r="H103" s="254">
        <f t="shared" si="6"/>
        <v>352176</v>
      </c>
      <c r="I103" s="254">
        <f t="shared" si="7"/>
        <v>378488</v>
      </c>
      <c r="J103" s="254">
        <f t="shared" si="8"/>
        <v>478824</v>
      </c>
      <c r="K103" s="254">
        <f t="shared" si="9"/>
        <v>500180</v>
      </c>
      <c r="L103" s="254">
        <f t="shared" si="10"/>
        <v>546264</v>
      </c>
      <c r="M103" s="254">
        <f t="shared" si="11"/>
        <v>602464</v>
      </c>
      <c r="P103" s="551" t="s">
        <v>57</v>
      </c>
      <c r="Q103" s="536"/>
      <c r="R103" s="246">
        <f>IF(AND(250&lt;=P98,P98&lt;=80000),(((((P98-Q101)/Q102)*R102)+R101)),0)</f>
        <v>11471.25</v>
      </c>
      <c r="S103" s="64"/>
      <c r="T103" s="535" t="s">
        <v>57</v>
      </c>
      <c r="U103" s="536"/>
      <c r="V103" s="247">
        <f>IF(AND(250&lt;=T98,T98&lt;=80000),(((((T98-U101)/U102)*V102)+V101)),0)</f>
        <v>0</v>
      </c>
    </row>
    <row r="104" spans="2:22" ht="13.5">
      <c r="B104" s="150">
        <v>900</v>
      </c>
      <c r="C104" s="254">
        <f t="shared" si="1"/>
        <v>30240</v>
      </c>
      <c r="D104" s="254">
        <f t="shared" si="2"/>
        <v>88830</v>
      </c>
      <c r="E104" s="254">
        <f t="shared" si="3"/>
        <v>238140</v>
      </c>
      <c r="F104" s="254">
        <f t="shared" si="4"/>
        <v>279936</v>
      </c>
      <c r="G104" s="254">
        <f t="shared" si="5"/>
        <v>335988</v>
      </c>
      <c r="H104" s="254">
        <f t="shared" si="6"/>
        <v>382104</v>
      </c>
      <c r="I104" s="254">
        <f t="shared" si="7"/>
        <v>410652</v>
      </c>
      <c r="J104" s="254">
        <f t="shared" si="8"/>
        <v>521424.00000000006</v>
      </c>
      <c r="K104" s="254">
        <f t="shared" si="9"/>
        <v>544680.0000000001</v>
      </c>
      <c r="L104" s="254">
        <f t="shared" si="10"/>
        <v>594864.0000000001</v>
      </c>
      <c r="M104" s="254">
        <f t="shared" si="11"/>
        <v>656064.0000000001</v>
      </c>
      <c r="P104" s="550" t="s">
        <v>58</v>
      </c>
      <c r="Q104" s="538"/>
      <c r="R104" s="248">
        <f>R103+R106</f>
        <v>11471.25</v>
      </c>
      <c r="S104" s="64"/>
      <c r="T104" s="537" t="s">
        <v>58</v>
      </c>
      <c r="U104" s="538"/>
      <c r="V104" s="249">
        <f>V103+V106</f>
        <v>0</v>
      </c>
    </row>
    <row r="105" spans="2:22" ht="13.5">
      <c r="B105" s="150">
        <v>1000</v>
      </c>
      <c r="C105" s="254">
        <f t="shared" si="1"/>
        <v>31710</v>
      </c>
      <c r="D105" s="254">
        <f t="shared" si="2"/>
        <v>93975</v>
      </c>
      <c r="E105" s="254">
        <f t="shared" si="3"/>
        <v>253574.99999999997</v>
      </c>
      <c r="F105" s="254">
        <f t="shared" si="4"/>
        <v>298079.99999999994</v>
      </c>
      <c r="G105" s="254">
        <f t="shared" si="5"/>
        <v>359550</v>
      </c>
      <c r="H105" s="254">
        <f t="shared" si="6"/>
        <v>408900</v>
      </c>
      <c r="I105" s="254">
        <f t="shared" si="7"/>
        <v>439450</v>
      </c>
      <c r="J105" s="254">
        <f t="shared" si="8"/>
        <v>560190</v>
      </c>
      <c r="K105" s="254">
        <f t="shared" si="9"/>
        <v>585175</v>
      </c>
      <c r="L105" s="254">
        <f t="shared" si="10"/>
        <v>639090</v>
      </c>
      <c r="M105" s="254">
        <f t="shared" si="11"/>
        <v>704840</v>
      </c>
      <c r="P105" s="566" t="s">
        <v>73</v>
      </c>
      <c r="Q105" s="50" t="s">
        <v>50</v>
      </c>
      <c r="R105" s="65">
        <f>IF(Q99&lt;=250,Q101-Q99,(IF(Q99&gt;=80000,Q99-Q100,0)))</f>
        <v>0</v>
      </c>
      <c r="S105" s="67"/>
      <c r="T105" s="533" t="s">
        <v>73</v>
      </c>
      <c r="U105" s="50" t="s">
        <v>50</v>
      </c>
      <c r="V105" s="66">
        <f>IF(U99&lt;=250,U101-U99,(IF(U99&gt;=80000,U99-U100,0)))</f>
        <v>0</v>
      </c>
    </row>
    <row r="106" spans="2:22" ht="13.5">
      <c r="B106" s="150">
        <v>1500</v>
      </c>
      <c r="C106" s="254">
        <f t="shared" si="1"/>
        <v>44415</v>
      </c>
      <c r="D106" s="254">
        <f t="shared" si="2"/>
        <v>131512.5</v>
      </c>
      <c r="E106" s="254">
        <f t="shared" si="3"/>
        <v>353718.75</v>
      </c>
      <c r="F106" s="254">
        <f t="shared" si="4"/>
        <v>415800</v>
      </c>
      <c r="G106" s="254">
        <f t="shared" si="5"/>
        <v>501457.5</v>
      </c>
      <c r="H106" s="254">
        <f t="shared" si="6"/>
        <v>570285</v>
      </c>
      <c r="I106" s="254">
        <f t="shared" si="7"/>
        <v>612892.5</v>
      </c>
      <c r="J106" s="254">
        <f t="shared" si="8"/>
        <v>779580</v>
      </c>
      <c r="K106" s="254">
        <f t="shared" si="9"/>
        <v>814350</v>
      </c>
      <c r="L106" s="254">
        <f t="shared" si="10"/>
        <v>889380</v>
      </c>
      <c r="M106" s="254">
        <f t="shared" si="11"/>
        <v>980880</v>
      </c>
      <c r="P106" s="567"/>
      <c r="Q106" s="50" t="s">
        <v>51</v>
      </c>
      <c r="R106" s="65">
        <f>IF(Q99&lt;250,(-R101*(R105/250)),(IF(Q99&gt;80000,((R100*(R105/80000))),0)))</f>
        <v>0</v>
      </c>
      <c r="S106" s="68"/>
      <c r="T106" s="534"/>
      <c r="U106" s="50" t="s">
        <v>51</v>
      </c>
      <c r="V106" s="66">
        <f>IF(U99&lt;250,(-V101*(V105/250)),(IF(U99&gt;80000,((V100*(V105/80000))),0)))</f>
        <v>0</v>
      </c>
    </row>
    <row r="107" spans="2:22" ht="13.5">
      <c r="B107" s="150">
        <v>2000</v>
      </c>
      <c r="C107" s="254">
        <f t="shared" si="1"/>
        <v>55020</v>
      </c>
      <c r="D107" s="254">
        <f t="shared" si="2"/>
        <v>162225</v>
      </c>
      <c r="E107" s="254">
        <f t="shared" si="3"/>
        <v>436100</v>
      </c>
      <c r="F107" s="254">
        <f t="shared" si="4"/>
        <v>512640</v>
      </c>
      <c r="G107" s="254">
        <f t="shared" si="5"/>
        <v>618120</v>
      </c>
      <c r="H107" s="254">
        <f t="shared" si="6"/>
        <v>702960</v>
      </c>
      <c r="I107" s="254">
        <f t="shared" si="7"/>
        <v>755480</v>
      </c>
      <c r="J107" s="254">
        <f t="shared" si="8"/>
        <v>958500</v>
      </c>
      <c r="K107" s="254">
        <f t="shared" si="9"/>
        <v>1001250</v>
      </c>
      <c r="L107" s="254">
        <f t="shared" si="10"/>
        <v>1093500</v>
      </c>
      <c r="M107" s="254">
        <f t="shared" si="11"/>
        <v>1206000</v>
      </c>
      <c r="P107" s="69"/>
      <c r="Q107" s="58"/>
      <c r="R107" s="58"/>
      <c r="S107" s="67"/>
      <c r="T107" s="70"/>
      <c r="U107" s="58"/>
      <c r="V107" s="71"/>
    </row>
    <row r="108" spans="2:22" ht="13.5">
      <c r="B108" s="150">
        <v>2500</v>
      </c>
      <c r="C108" s="254">
        <f t="shared" si="1"/>
        <v>63525</v>
      </c>
      <c r="D108" s="254">
        <f t="shared" si="2"/>
        <v>186375</v>
      </c>
      <c r="E108" s="254">
        <f t="shared" si="3"/>
        <v>500718.75</v>
      </c>
      <c r="F108" s="254">
        <f t="shared" si="4"/>
        <v>588600</v>
      </c>
      <c r="G108" s="254">
        <f t="shared" si="5"/>
        <v>707625</v>
      </c>
      <c r="H108" s="254">
        <f t="shared" si="6"/>
        <v>804750</v>
      </c>
      <c r="I108" s="254">
        <f t="shared" si="7"/>
        <v>864875</v>
      </c>
      <c r="J108" s="254">
        <f t="shared" si="8"/>
        <v>1096950</v>
      </c>
      <c r="K108" s="254">
        <f t="shared" si="9"/>
        <v>1145875</v>
      </c>
      <c r="L108" s="254">
        <f t="shared" si="10"/>
        <v>1251450</v>
      </c>
      <c r="M108" s="254">
        <f t="shared" si="11"/>
        <v>1380200</v>
      </c>
      <c r="P108" s="135" t="s">
        <v>49</v>
      </c>
      <c r="Q108" s="50" t="s">
        <v>46</v>
      </c>
      <c r="R108" s="50" t="s">
        <v>45</v>
      </c>
      <c r="S108" s="78"/>
      <c r="T108" s="136"/>
      <c r="U108" s="50" t="s">
        <v>46</v>
      </c>
      <c r="V108" s="59" t="s">
        <v>45</v>
      </c>
    </row>
    <row r="109" spans="2:22" ht="13.5">
      <c r="B109" s="150">
        <v>3000</v>
      </c>
      <c r="C109" s="254">
        <f t="shared" si="1"/>
        <v>73395</v>
      </c>
      <c r="D109" s="254">
        <f t="shared" si="2"/>
        <v>215775</v>
      </c>
      <c r="E109" s="254">
        <f t="shared" si="3"/>
        <v>576975</v>
      </c>
      <c r="F109" s="254">
        <f t="shared" si="4"/>
        <v>678240</v>
      </c>
      <c r="G109" s="254">
        <f t="shared" si="5"/>
        <v>814725</v>
      </c>
      <c r="H109" s="254">
        <f t="shared" si="6"/>
        <v>926550</v>
      </c>
      <c r="I109" s="254">
        <f t="shared" si="7"/>
        <v>995775</v>
      </c>
      <c r="J109" s="254">
        <f t="shared" si="8"/>
        <v>1262025</v>
      </c>
      <c r="K109" s="254">
        <f t="shared" si="9"/>
        <v>1318312.5</v>
      </c>
      <c r="L109" s="254">
        <f t="shared" si="10"/>
        <v>1439775</v>
      </c>
      <c r="M109" s="254">
        <f t="shared" si="11"/>
        <v>1587900</v>
      </c>
      <c r="P109" s="135" t="s">
        <v>47</v>
      </c>
      <c r="Q109" s="65">
        <f>IF(AND(P98&gt;=250,P98&lt;300),B98,0)+IF(AND(P98&gt;=300,P98&lt;400),B99,0)+IF(AND(P98&gt;=400,P98&lt;500),B100,0)+IF(AND(P98&gt;=500,P98&lt;600),B101,0)+IF(AND(P98&gt;=600,P98&lt;700),B102,0)+IF(AND(P98&gt;=700,P98&lt;800),B103,0)+IF(AND(P98&gt;=800,P98&lt;900),B104,0)+IF(AND(P98&gt;=900,P98&lt;1000),B105,0)+IF(AND(P98&gt;=1000,P98&lt;1500),B106,0)+IF(AND(P98&gt;=1500,P98&lt;2000),B107,0)+IF(AND(P98&gt;=2000,P98&lt;2500),B108,0)+IF(AND(P98&gt;=2500,P98&lt;3000),B109,0)+IF(AND(P98&gt;=3000,P98&lt;3500),B110,0)+IF(AND(P98&gt;=3500,P98&lt;4000),B111,0)+IF(AND(P98&gt;=4000,P98&lt;4500),B112,0)+IF(AND(P98&gt;=4500,P98&lt;5000),B113,0)+IF(AND(P98&gt;=5000,P98&lt;6000),B114,0)+IF(AND(P98&gt;=6000,P98&lt;7000),B115,0)+IF(AND(P98&gt;=7000,P98&lt;8000),B116,0)+IF(AND(P98&gt;=8000,P98&lt;9000),B117,0)+IF(AND(P98&gt;=9000,P98&lt;10000),B118,0)</f>
        <v>300</v>
      </c>
      <c r="R109" s="65">
        <f>IF(AND(P98&gt;=250,P98&lt;300),B97,0)+IF(AND(P98&gt;=300,P98&lt;400),B98,0)+IF(AND(P98&gt;=400,P98&lt;500),B99,0)+IF(AND(P98&gt;=500,P98&lt;600),B100,0)+IF(AND(P98&gt;=600,P98&lt;700),B101,0)+IF(AND(P98&gt;=700,P98&lt;800),B102,0)+IF(AND(P98&gt;=800,P98&lt;900),B103,0)+IF(AND(P98&gt;=900,P98&lt;1000),B104,0)+IF(AND(P98&gt;=1000,P98&lt;1500),B105,0)+IF(AND(P98&gt;=1500,P98&lt;2000),B106,0)+IF(AND(P98&gt;=2000,P98&lt;2500),B107,0)+IF(AND(P98&gt;=2500,P98&lt;3000),B108,0)+IF(AND(P98&gt;=3000,P98&lt;3500),B109,0)+IF(AND(P98&gt;=3500,P98&lt;4000),B110,0)+IF(AND(P98&gt;=4000,P98&lt;4500),B111,0)+IF(AND(P98&gt;=4500,P98&lt;5000),B112,0)+IF(AND(P98&gt;=5000,P98&lt;6000),B113,0)+IF(AND(P98&gt;=6000,P98&lt;7000),B114,0)+IF(AND(P98&gt;=7000,P98&lt;8000),B115,0)+IF(AND(P98&gt;=8000,P98&lt;9000),B116,0)+IF(AND(P98&gt;=9000,P98&lt;10000),B117,0)</f>
        <v>250</v>
      </c>
      <c r="S109" s="78"/>
      <c r="T109" s="136" t="s">
        <v>47</v>
      </c>
      <c r="U109" s="65">
        <f>IF(AND(T98&gt;=250,T98&lt;300),B98,0)+IF(AND(T98&gt;=300,T98&lt;400),B99,0)+IF(AND(T98&gt;=400,T98&lt;500),B100,0)+IF(AND(T98&gt;=500,T98&lt;600),B101,0)+IF(AND(T98&gt;=600,T98&lt;700),B102,0)+IF(AND(T98&gt;=700,T98&lt;800),B103,0)+IF(AND(T98&gt;=800,T98&lt;900),B104,0)+IF(AND(T98&gt;=900,T98&lt;1000),B105,0)+IF(AND(T98&gt;=1000,T98&lt;1500),B106,0)+IF(AND(T98&gt;=1500,T98&lt;2000),B107,0)+IF(AND(T98&gt;=2000,T98&lt;2500),B108,0)+IF(AND(T98&gt;=2500,T98&lt;3000),B109,0)+IF(AND(T98&gt;=3000,T98&lt;3500),B110,0)+IF(AND(T98&gt;=3500,T98&lt;4000),B111,0)+IF(AND(T98&gt;=4000,T98&lt;4500),B112,0)+IF(AND(T98&gt;=4500,T98&lt;5000),B113,0)+IF(AND(T98&gt;=5000,T98&lt;6000),B114,0)+IF(AND(T98&gt;=6000,T98&lt;7000),B115,0)+IF(AND(T98&gt;=7000,T98&lt;8000),B116,0)+IF(AND(T98&gt;=8000,T98&lt;9000),B117,0)+IF(AND(T98&gt;=9000,T98&lt;10000),B118,0)</f>
        <v>300</v>
      </c>
      <c r="V109" s="66">
        <f>IF(AND(T98&gt;=250,T98&lt;300),B97,0)+IF(AND(T98&gt;=300,T98&lt;400),B98,0)+IF(AND(T98&gt;=400,T98&lt;500),B99,0)+IF(AND(T98&gt;=500,T98&lt;600),B100,0)+IF(AND(T98&gt;=600,T98&lt;700),B101,0)+IF(AND(T98&gt;=700,T98&lt;800),B102,0)+IF(AND(T98&gt;=800,T98&lt;900),B103,0)+IF(AND(T98&gt;=900,T98&lt;1000),B104,0)+IF(AND(T98&gt;=1000,T98&lt;1500),B105,0)+IF(AND(T98&gt;=1500,T98&lt;2000),B106,0)+IF(AND(T98&gt;=2000,T98&lt;2500),B107,0)+IF(AND(T98&gt;=2500,T98&lt;3000),B108,0)+IF(AND(T98&gt;=3000,T98&lt;3500),B109,0)+IF(AND(T98&gt;=3500,T98&lt;4000),B110,0)+IF(AND(T98&gt;=4000,T98&lt;4500),B111,0)+IF(AND(T98&gt;=4500,T98&lt;5000),B112,0)+IF(AND(T98&gt;=5000,T98&lt;6000),B113,0)+IF(AND(T98&gt;=6000,T98&lt;7000),B114,0)+IF(AND(T98&gt;=7000,T98&lt;8000),B115,0)+IF(AND(T98&gt;=8000,T98&lt;9000),B116,0)+IF(AND(T98&gt;=9000,T98&lt;10000),B117,0)</f>
        <v>250</v>
      </c>
    </row>
    <row r="110" spans="2:22" ht="13.5">
      <c r="B110" s="150">
        <v>3500</v>
      </c>
      <c r="C110" s="254">
        <f t="shared" si="1"/>
        <v>82687.5</v>
      </c>
      <c r="D110" s="254">
        <f t="shared" si="2"/>
        <v>241631.25</v>
      </c>
      <c r="E110" s="254">
        <f t="shared" si="3"/>
        <v>645268.7499999999</v>
      </c>
      <c r="F110" s="254">
        <f t="shared" si="4"/>
        <v>758520</v>
      </c>
      <c r="G110" s="254">
        <f t="shared" si="5"/>
        <v>910350</v>
      </c>
      <c r="H110" s="254">
        <f t="shared" si="6"/>
        <v>1035300</v>
      </c>
      <c r="I110" s="254">
        <f t="shared" si="7"/>
        <v>1112650</v>
      </c>
      <c r="J110" s="254">
        <f t="shared" si="8"/>
        <v>1405267.5</v>
      </c>
      <c r="K110" s="254">
        <f t="shared" si="9"/>
        <v>1467943.75</v>
      </c>
      <c r="L110" s="254">
        <f t="shared" si="10"/>
        <v>1603192.5</v>
      </c>
      <c r="M110" s="254">
        <f t="shared" si="11"/>
        <v>1768130</v>
      </c>
      <c r="P110" s="135" t="s">
        <v>154</v>
      </c>
      <c r="Q110" s="65">
        <f>IF(AND(P98&gt;=10000,P98&lt;12500),B119,0)+IF(AND(P98&gt;=12500,P98&lt;15000),B120,0)+IF(AND(P98&gt;=15000,P98&lt;17500),B121,0)+IF(AND(P98&gt;=17500,P98&lt;20000),B122,0)+IF(AND(P98&gt;=20000,P98&lt;22500),B123,0)+IF(AND(P98&gt;=22500,P98&lt;25000),B124,0)+IF(AND(P98&gt;=25000,P98&lt;27500),B125,0)+IF(AND(P98&gt;=27500,P98&lt;30000),B126,0)+IF(AND(P98&gt;=30000,P98&lt;32500),B127,0)+IF(AND(P98&gt;=32500,P98&lt;35000),B128,0)+IF(AND(P98&gt;=35000,P98&lt;37500),B129,0)+IF(AND(P98&gt;=37500,P98&lt;40000),B130,0)+IF(AND(P98&gt;=40000,P98&lt;42500),B131,0)+IF(AND(P98&gt;=42500,P98&lt;45000),B132,0)+IF(AND(P98&gt;=45000,P98&lt;47500),B133,0)+IF(AND(P98&gt;=47500,P98&lt;50000),B134,0)+IF(AND(P98&gt;=50000,P98&lt;55000),B135,0)+IF(AND(P98&gt;=55000,P98&lt;60000),B136,0)+IF(AND(P98&gt;=60000,P98&lt;65000),B137,0)+IF(AND(P98&gt;=65000,P98&lt;70000),B138,0)+IF(AND(P98&gt;=70000,P98&lt;75000),B139,0)+IF(AND(P98&gt;=75000,P98&lt;=80000),B140,0)</f>
        <v>0</v>
      </c>
      <c r="R110" s="65">
        <f>IF(AND(P98&gt;=10000,P98&lt;12500),B118,0)+IF(AND(P98&gt;=12500,P98&lt;15000),B119,0)+IF(AND(P98&gt;=15000,P98&lt;17500),B120,0)+IF(AND(P98&gt;=17500,P98&lt;20000),B121,0)+IF(AND(P98&gt;=20000,P98&lt;22500),B122,0)+IF(AND(P98&gt;=22500,P98&lt;25000),B123,0)+IF(AND(P98&gt;=25000,P98&lt;27500),B124,0)+IF(AND(P98&gt;=27500,P98&lt;30000),B125,0)+IF(AND(P98&gt;=30000,P98&lt;32500),B126,0)+IF(AND(P98&gt;=32500,P98&lt;35000),B127,0)+IF(AND(P98&gt;=35000,P98&lt;37500),B128,0)+IF(AND(P98&gt;=37500,P98&lt;40000),B129,0)+IF(AND(P98&gt;=40000,P98&lt;42500),B130,0)+IF(AND(P98&gt;=42500,P98&lt;45000),B131,0)+IF(AND(P98&gt;=45000,P98&lt;47500),B132,0)+IF(AND(P98&gt;=47500,P98&lt;50000),B133,0)+IF(AND(P98&gt;=50000,P98&lt;55000),B134,0)+IF(AND(P98&gt;=55000,P98&lt;60000),B135,0)+IF(AND(P98&gt;=60000,P98&lt;65000),B136,0)+IF(AND(P98&gt;=65000,P98&lt;70000),B137,0)+IF(AND(P98&gt;=70000,P98&lt;75000),B138,0)+IF(AND(P98&gt;=75000,P98&lt;=80000),B139,0)</f>
        <v>0</v>
      </c>
      <c r="S110" s="78"/>
      <c r="T110" s="136" t="s">
        <v>154</v>
      </c>
      <c r="U110" s="65">
        <f>IF(AND(T98&gt;=10000,T98&lt;12500),B119,0)+IF(AND(T98&gt;=12500,T98&lt;15000),B120,0)+IF(AND(T98&gt;=15000,T98&lt;17500),B121,0)+IF(AND(T98&gt;=17500,T98&lt;20000),B122,0)+IF(AND(T98&gt;=20000,T98&lt;22500),B123,0)+IF(AND(T98&gt;=22500,T98&lt;25000),B124,0)+IF(AND(T98&gt;=25000,T98&lt;27500),B125,0)+IF(AND(T98&gt;=27500,T98&lt;30000),B126,0)+IF(AND(T98&gt;=30000,T98&lt;32500),B127,0)+IF(AND(T98&gt;=32500,T98&lt;35000),B128,0)+IF(AND(T98&gt;=35000,T98&lt;37500),B129,0)+IF(AND(T98&gt;=37500,T98&lt;40000),B130,0)+IF(AND(T98&gt;=40000,T98&lt;42500),B131,0)+IF(AND(T98&gt;=42500,T98&lt;45000),B132,0)+IF(AND(T98&gt;=45000,T98&lt;47500),B133,0)+IF(AND(T98&gt;=47500,T98&lt;50000),B134,0)+IF(AND(T98&gt;=50000,T98&lt;55000),B135,0)+IF(AND(T98&gt;=55000,T98&lt;60000),B136,0)+IF(AND(T98&gt;=60000,T98&lt;65000),B137,0)+IF(AND(T98&gt;=65000,T98&lt;70000),B138,0)+IF(AND(T98&gt;=70000,T98&lt;75000),B139,0)+IF(AND(T98&gt;=75000,T98&lt;=80000),B140,0)</f>
        <v>0</v>
      </c>
      <c r="V110" s="66">
        <f>IF(AND(T98&gt;=10000,T98&lt;12500),B118,0)+IF(AND(T98&gt;=12500,T98&lt;15000),B119,0)+IF(AND(T98&gt;=15000,T98&lt;17500),B120,0)+IF(AND(T98&gt;=17500,T98&lt;20000),B121,0)+IF(AND(T98&gt;=20000,T98&lt;22500),B122,0)+IF(AND(T98&gt;=22500,T98&lt;25000),B123,0)+IF(AND(T98&gt;=25000,T98&lt;27500),B124,0)+IF(AND(T98&gt;=27500,T98&lt;30000),B125,0)+IF(AND(T98&gt;=30000,T98&lt;32500),B126,0)+IF(AND(T98&gt;=32500,T98&lt;35000),B127,0)+IF(AND(T98&gt;=35000,T98&lt;37500),B128,0)+IF(AND(T98&gt;=37500,T98&lt;40000),B129,0)+IF(AND(T98&gt;=40000,T98&lt;42500),B130,0)+IF(AND(T98&gt;=42500,T98&lt;45000),B131,0)+IF(AND(T98&gt;=45000,T98&lt;47500),B132,0)+IF(AND(T98&gt;=47500,T98&lt;50000),B133,0)+IF(AND(T98&gt;=50000,T98&lt;55000),B134,0)+IF(AND(T98&gt;=55000,T98&lt;60000),B135,0)+IF(AND(T98&gt;=60000,T98&lt;65000),B136,0)+IF(AND(T98&gt;=65000,T98&lt;70000),B137,0)+IF(AND(T98&gt;=70000,T98&lt;75000),B138,0)+IF(AND(T98&gt;=75000,T98&lt;=80000),B139,0)</f>
        <v>0</v>
      </c>
    </row>
    <row r="111" spans="2:22" ht="13.5">
      <c r="B111" s="150">
        <v>4000</v>
      </c>
      <c r="C111" s="254">
        <f t="shared" si="1"/>
        <v>90720</v>
      </c>
      <c r="D111" s="254">
        <f t="shared" si="2"/>
        <v>265649.99999999994</v>
      </c>
      <c r="E111" s="254">
        <f t="shared" si="3"/>
        <v>705600</v>
      </c>
      <c r="F111" s="254">
        <f t="shared" si="4"/>
        <v>829440</v>
      </c>
      <c r="G111" s="254">
        <f t="shared" si="5"/>
        <v>991440</v>
      </c>
      <c r="H111" s="254">
        <f t="shared" si="6"/>
        <v>1127520</v>
      </c>
      <c r="I111" s="254">
        <f t="shared" si="7"/>
        <v>1211760.0000000002</v>
      </c>
      <c r="J111" s="254">
        <f t="shared" si="8"/>
        <v>1533600</v>
      </c>
      <c r="K111" s="254">
        <f t="shared" si="9"/>
        <v>1602000</v>
      </c>
      <c r="L111" s="254">
        <f t="shared" si="10"/>
        <v>1749600</v>
      </c>
      <c r="M111" s="254">
        <f t="shared" si="11"/>
        <v>1929600</v>
      </c>
      <c r="P111" s="57"/>
      <c r="Q111" s="47"/>
      <c r="R111" s="47"/>
      <c r="S111" s="58"/>
      <c r="T111" s="47"/>
      <c r="U111" s="47"/>
      <c r="V111" s="51"/>
    </row>
    <row r="112" spans="2:22" ht="14.25" thickBot="1">
      <c r="B112" s="150">
        <v>4500</v>
      </c>
      <c r="C112" s="254">
        <f t="shared" si="1"/>
        <v>98752.5</v>
      </c>
      <c r="D112" s="254">
        <f t="shared" si="2"/>
        <v>285862.5</v>
      </c>
      <c r="E112" s="254">
        <f t="shared" si="3"/>
        <v>757968.75</v>
      </c>
      <c r="F112" s="254">
        <f t="shared" si="4"/>
        <v>891000</v>
      </c>
      <c r="G112" s="254">
        <f t="shared" si="5"/>
        <v>1063732.5</v>
      </c>
      <c r="H112" s="254">
        <f t="shared" si="6"/>
        <v>1209735</v>
      </c>
      <c r="I112" s="254">
        <f t="shared" si="7"/>
        <v>1300117.5</v>
      </c>
      <c r="J112" s="254">
        <f t="shared" si="8"/>
        <v>1639035</v>
      </c>
      <c r="K112" s="254">
        <f t="shared" si="9"/>
        <v>1712137.5</v>
      </c>
      <c r="L112" s="254">
        <f t="shared" si="10"/>
        <v>1869885</v>
      </c>
      <c r="M112" s="254">
        <f t="shared" si="11"/>
        <v>2062260</v>
      </c>
      <c r="P112" s="72"/>
      <c r="Q112" s="73"/>
      <c r="R112" s="73"/>
      <c r="S112" s="73"/>
      <c r="T112" s="73"/>
      <c r="U112" s="73"/>
      <c r="V112" s="74"/>
    </row>
    <row r="113" spans="2:13" ht="14.25" thickBot="1">
      <c r="B113" s="150">
        <v>5000</v>
      </c>
      <c r="C113" s="254">
        <f t="shared" si="1"/>
        <v>105000</v>
      </c>
      <c r="D113" s="254">
        <f t="shared" si="2"/>
        <v>303187.5</v>
      </c>
      <c r="E113" s="254">
        <f t="shared" si="3"/>
        <v>802375</v>
      </c>
      <c r="F113" s="254">
        <f t="shared" si="4"/>
        <v>943200</v>
      </c>
      <c r="G113" s="254">
        <f t="shared" si="5"/>
        <v>1120725</v>
      </c>
      <c r="H113" s="254">
        <f t="shared" si="6"/>
        <v>1274550</v>
      </c>
      <c r="I113" s="254">
        <f t="shared" si="7"/>
        <v>1369775</v>
      </c>
      <c r="J113" s="254">
        <f t="shared" si="8"/>
        <v>1725300</v>
      </c>
      <c r="K113" s="254">
        <f t="shared" si="9"/>
        <v>1802250</v>
      </c>
      <c r="L113" s="254">
        <f t="shared" si="10"/>
        <v>1968300</v>
      </c>
      <c r="M113" s="254">
        <f t="shared" si="11"/>
        <v>2170800</v>
      </c>
    </row>
    <row r="114" spans="2:27" ht="13.5">
      <c r="B114" s="150">
        <v>6000</v>
      </c>
      <c r="C114" s="254">
        <f t="shared" si="1"/>
        <v>120960</v>
      </c>
      <c r="D114" s="254">
        <f t="shared" si="2"/>
        <v>348075</v>
      </c>
      <c r="E114" s="254">
        <f t="shared" si="3"/>
        <v>918750</v>
      </c>
      <c r="F114" s="254">
        <f t="shared" si="4"/>
        <v>1080000</v>
      </c>
      <c r="G114" s="254">
        <f t="shared" si="5"/>
        <v>1280610</v>
      </c>
      <c r="H114" s="254">
        <f t="shared" si="6"/>
        <v>1456380</v>
      </c>
      <c r="I114" s="254">
        <f t="shared" si="7"/>
        <v>1565190</v>
      </c>
      <c r="J114" s="254">
        <f t="shared" si="8"/>
        <v>1968120</v>
      </c>
      <c r="K114" s="254">
        <f t="shared" si="9"/>
        <v>2055900</v>
      </c>
      <c r="L114" s="254">
        <f t="shared" si="10"/>
        <v>2245320</v>
      </c>
      <c r="M114" s="254">
        <f t="shared" si="11"/>
        <v>2476320</v>
      </c>
      <c r="P114" s="495" t="s">
        <v>75</v>
      </c>
      <c r="Q114" s="496"/>
      <c r="R114" s="496"/>
      <c r="S114" s="496"/>
      <c r="T114" s="496"/>
      <c r="U114" s="496"/>
      <c r="V114" s="496"/>
      <c r="W114" s="496"/>
      <c r="X114" s="496"/>
      <c r="Y114" s="496"/>
      <c r="Z114" s="496"/>
      <c r="AA114" s="497"/>
    </row>
    <row r="115" spans="2:27" ht="14.25" thickBot="1">
      <c r="B115" s="150">
        <v>7000</v>
      </c>
      <c r="C115" s="254">
        <f t="shared" si="1"/>
        <v>135240</v>
      </c>
      <c r="D115" s="254">
        <f t="shared" si="2"/>
        <v>387712.5</v>
      </c>
      <c r="E115" s="254">
        <f t="shared" si="3"/>
        <v>1020425</v>
      </c>
      <c r="F115" s="254">
        <f t="shared" si="4"/>
        <v>1199520</v>
      </c>
      <c r="G115" s="254">
        <f t="shared" si="5"/>
        <v>1424430</v>
      </c>
      <c r="H115" s="254">
        <f t="shared" si="6"/>
        <v>1619940</v>
      </c>
      <c r="I115" s="254">
        <f t="shared" si="7"/>
        <v>1740970</v>
      </c>
      <c r="J115" s="254">
        <f t="shared" si="8"/>
        <v>2176860</v>
      </c>
      <c r="K115" s="254">
        <f t="shared" si="9"/>
        <v>2273950</v>
      </c>
      <c r="L115" s="254">
        <f t="shared" si="10"/>
        <v>2483460</v>
      </c>
      <c r="M115" s="254">
        <f t="shared" si="11"/>
        <v>2738960</v>
      </c>
      <c r="P115" s="498"/>
      <c r="Q115" s="499"/>
      <c r="R115" s="499"/>
      <c r="S115" s="499"/>
      <c r="T115" s="499"/>
      <c r="U115" s="499"/>
      <c r="V115" s="499"/>
      <c r="W115" s="499"/>
      <c r="X115" s="499"/>
      <c r="Y115" s="499"/>
      <c r="Z115" s="499"/>
      <c r="AA115" s="500"/>
    </row>
    <row r="116" spans="2:27" ht="13.5">
      <c r="B116" s="150">
        <v>8000</v>
      </c>
      <c r="C116" s="254">
        <f t="shared" si="1"/>
        <v>148680</v>
      </c>
      <c r="D116" s="254">
        <f t="shared" si="2"/>
        <v>426299.99999999994</v>
      </c>
      <c r="E116" s="254">
        <f t="shared" si="3"/>
        <v>1117199.9999999998</v>
      </c>
      <c r="F116" s="254">
        <f t="shared" si="4"/>
        <v>1313279.9999999998</v>
      </c>
      <c r="G116" s="254">
        <f t="shared" si="5"/>
        <v>1554480</v>
      </c>
      <c r="H116" s="254">
        <f t="shared" si="6"/>
        <v>1767840</v>
      </c>
      <c r="I116" s="254">
        <f t="shared" si="7"/>
        <v>1899920</v>
      </c>
      <c r="J116" s="254">
        <f t="shared" si="8"/>
        <v>2377080</v>
      </c>
      <c r="K116" s="254">
        <f t="shared" si="9"/>
        <v>2483100</v>
      </c>
      <c r="L116" s="254">
        <f t="shared" si="10"/>
        <v>2711880</v>
      </c>
      <c r="M116" s="254">
        <f t="shared" si="11"/>
        <v>2990880</v>
      </c>
      <c r="P116" s="76"/>
      <c r="Q116" s="77"/>
      <c r="R116" s="77"/>
      <c r="S116" s="77"/>
      <c r="T116" s="77"/>
      <c r="U116" s="77"/>
      <c r="V116" s="77"/>
      <c r="W116" s="78"/>
      <c r="X116" s="78"/>
      <c r="Y116" s="512" t="s">
        <v>61</v>
      </c>
      <c r="Z116" s="512"/>
      <c r="AA116" s="79"/>
    </row>
    <row r="117" spans="2:27" ht="13.5">
      <c r="B117" s="150">
        <v>9000</v>
      </c>
      <c r="C117" s="254">
        <f t="shared" si="1"/>
        <v>163485</v>
      </c>
      <c r="D117" s="254">
        <f t="shared" si="2"/>
        <v>465412.5</v>
      </c>
      <c r="E117" s="254">
        <f t="shared" si="3"/>
        <v>1218262.5</v>
      </c>
      <c r="F117" s="254">
        <f t="shared" si="4"/>
        <v>1432080</v>
      </c>
      <c r="G117" s="254">
        <f t="shared" si="5"/>
        <v>1693710</v>
      </c>
      <c r="H117" s="254">
        <f t="shared" si="6"/>
        <v>1926180</v>
      </c>
      <c r="I117" s="254">
        <f t="shared" si="7"/>
        <v>2070090</v>
      </c>
      <c r="J117" s="254">
        <f t="shared" si="8"/>
        <v>2587950.0000000005</v>
      </c>
      <c r="K117" s="254">
        <f t="shared" si="9"/>
        <v>2703375</v>
      </c>
      <c r="L117" s="254">
        <f t="shared" si="10"/>
        <v>2952450</v>
      </c>
      <c r="M117" s="254">
        <f t="shared" si="11"/>
        <v>3256200</v>
      </c>
      <c r="P117" s="516" t="s">
        <v>82</v>
      </c>
      <c r="Q117" s="517"/>
      <c r="R117" s="517"/>
      <c r="S117" s="517"/>
      <c r="T117" s="80" t="s">
        <v>14</v>
      </c>
      <c r="U117" s="81" t="s">
        <v>38</v>
      </c>
      <c r="W117" s="77"/>
      <c r="X117" s="77"/>
      <c r="Y117" s="80" t="s">
        <v>14</v>
      </c>
      <c r="Z117" s="81" t="s">
        <v>38</v>
      </c>
      <c r="AA117" s="79"/>
    </row>
    <row r="118" spans="2:27" ht="13.5">
      <c r="B118" s="150">
        <v>10000</v>
      </c>
      <c r="C118" s="254">
        <f t="shared" si="1"/>
        <v>177450</v>
      </c>
      <c r="D118" s="254">
        <f t="shared" si="2"/>
        <v>501375</v>
      </c>
      <c r="E118" s="254">
        <f t="shared" si="3"/>
        <v>1316875</v>
      </c>
      <c r="F118" s="254">
        <f t="shared" si="4"/>
        <v>1548000</v>
      </c>
      <c r="G118" s="254">
        <f t="shared" si="5"/>
        <v>1782450</v>
      </c>
      <c r="H118" s="254">
        <f t="shared" si="6"/>
        <v>2027100</v>
      </c>
      <c r="I118" s="254">
        <f t="shared" si="7"/>
        <v>2178550</v>
      </c>
      <c r="J118" s="254">
        <f t="shared" si="8"/>
        <v>2779650</v>
      </c>
      <c r="K118" s="254">
        <f t="shared" si="9"/>
        <v>2903625</v>
      </c>
      <c r="L118" s="254">
        <f t="shared" si="10"/>
        <v>3171150</v>
      </c>
      <c r="M118" s="254">
        <f t="shared" si="11"/>
        <v>3497400</v>
      </c>
      <c r="P118" s="516" t="s">
        <v>64</v>
      </c>
      <c r="Q118" s="517"/>
      <c r="R118" s="517"/>
      <c r="S118" s="517"/>
      <c r="T118" s="62">
        <f>R99*U93</f>
        <v>5735.625</v>
      </c>
      <c r="U118" s="62">
        <f>V99</f>
        <v>0</v>
      </c>
      <c r="W118" s="77"/>
      <c r="X118" s="50" t="s">
        <v>63</v>
      </c>
      <c r="Y118" s="62">
        <f>T118</f>
        <v>5735.625</v>
      </c>
      <c r="Z118" s="62">
        <f>U118</f>
        <v>0</v>
      </c>
      <c r="AA118" s="430">
        <f>IF(KOD!Q94=1,"+","")</f>
      </c>
    </row>
    <row r="119" spans="2:27" ht="13.5">
      <c r="B119" s="150">
        <v>12500</v>
      </c>
      <c r="C119" s="254">
        <f t="shared" si="1"/>
        <v>206062.5</v>
      </c>
      <c r="D119" s="254">
        <f t="shared" si="2"/>
        <v>587343.75</v>
      </c>
      <c r="E119" s="254">
        <f t="shared" si="3"/>
        <v>1531250</v>
      </c>
      <c r="F119" s="254">
        <f t="shared" si="4"/>
        <v>1800000</v>
      </c>
      <c r="G119" s="254">
        <f t="shared" si="5"/>
        <v>2113312.5</v>
      </c>
      <c r="H119" s="254">
        <f t="shared" si="6"/>
        <v>2403375</v>
      </c>
      <c r="I119" s="254">
        <f t="shared" si="7"/>
        <v>2582937.5</v>
      </c>
      <c r="J119" s="254">
        <f t="shared" si="8"/>
        <v>3221625</v>
      </c>
      <c r="K119" s="254">
        <f t="shared" si="9"/>
        <v>3365312.5</v>
      </c>
      <c r="L119" s="254">
        <f t="shared" si="10"/>
        <v>3675375</v>
      </c>
      <c r="M119" s="254">
        <f t="shared" si="11"/>
        <v>4053500</v>
      </c>
      <c r="P119" s="516" t="s">
        <v>65</v>
      </c>
      <c r="Q119" s="517"/>
      <c r="R119" s="517"/>
      <c r="S119" s="517"/>
      <c r="T119" s="62">
        <f>T118*0.5</f>
        <v>2867.8125</v>
      </c>
      <c r="U119" s="62">
        <f>U118*0.5</f>
        <v>0</v>
      </c>
      <c r="W119" s="77"/>
      <c r="X119" s="50" t="s">
        <v>40</v>
      </c>
      <c r="Y119" s="62">
        <f>SUM(T118:T119)</f>
        <v>8603.4375</v>
      </c>
      <c r="Z119" s="62">
        <f>SUM(U118:U119)</f>
        <v>0</v>
      </c>
      <c r="AA119" s="430">
        <f>IF(KOD!Q94=2,"+","")</f>
      </c>
    </row>
    <row r="120" spans="2:27" ht="13.5">
      <c r="B120" s="150">
        <v>15000</v>
      </c>
      <c r="C120" s="254">
        <f t="shared" si="1"/>
        <v>234675</v>
      </c>
      <c r="D120" s="254">
        <f t="shared" si="2"/>
        <v>661500</v>
      </c>
      <c r="E120" s="254">
        <f t="shared" si="3"/>
        <v>1718062.5</v>
      </c>
      <c r="F120" s="254">
        <f t="shared" si="4"/>
        <v>2019600</v>
      </c>
      <c r="G120" s="254">
        <f t="shared" si="5"/>
        <v>2375324.9999999995</v>
      </c>
      <c r="H120" s="254">
        <f t="shared" si="6"/>
        <v>2701350</v>
      </c>
      <c r="I120" s="254">
        <f t="shared" si="7"/>
        <v>2903175</v>
      </c>
      <c r="J120" s="254">
        <f t="shared" si="8"/>
        <v>3626325</v>
      </c>
      <c r="K120" s="254">
        <f t="shared" si="9"/>
        <v>3788062.5</v>
      </c>
      <c r="L120" s="254">
        <f t="shared" si="10"/>
        <v>4137075</v>
      </c>
      <c r="M120" s="254">
        <f t="shared" si="11"/>
        <v>4562700</v>
      </c>
      <c r="P120" s="516" t="s">
        <v>66</v>
      </c>
      <c r="Q120" s="517"/>
      <c r="R120" s="517"/>
      <c r="S120" s="517"/>
      <c r="T120" s="62">
        <f>T118*0.25</f>
        <v>1433.90625</v>
      </c>
      <c r="U120" s="62">
        <f>U118*0.25</f>
        <v>0</v>
      </c>
      <c r="W120" s="77"/>
      <c r="X120" s="50" t="s">
        <v>39</v>
      </c>
      <c r="Y120" s="62">
        <f>SUM(T118:T120)</f>
        <v>10037.34375</v>
      </c>
      <c r="Z120" s="62">
        <f>SUM(U118:U120)</f>
        <v>0</v>
      </c>
      <c r="AA120" s="430">
        <f>IF(KOD!Q94=3,"+","")</f>
      </c>
    </row>
    <row r="121" spans="2:27" ht="13.5">
      <c r="B121" s="150">
        <v>17500</v>
      </c>
      <c r="C121" s="254">
        <f t="shared" si="1"/>
        <v>259087.5</v>
      </c>
      <c r="D121" s="254">
        <f t="shared" si="2"/>
        <v>725812.5</v>
      </c>
      <c r="E121" s="254">
        <f t="shared" si="3"/>
        <v>1886500</v>
      </c>
      <c r="F121" s="254">
        <f t="shared" si="4"/>
        <v>2217600</v>
      </c>
      <c r="G121" s="254">
        <f t="shared" si="5"/>
        <v>2597175</v>
      </c>
      <c r="H121" s="254">
        <f t="shared" si="6"/>
        <v>2953650</v>
      </c>
      <c r="I121" s="254">
        <f t="shared" si="7"/>
        <v>3174325</v>
      </c>
      <c r="J121" s="254">
        <f t="shared" si="8"/>
        <v>3951150</v>
      </c>
      <c r="K121" s="254">
        <f t="shared" si="9"/>
        <v>4127375</v>
      </c>
      <c r="L121" s="254">
        <f t="shared" si="10"/>
        <v>4507650</v>
      </c>
      <c r="M121" s="254">
        <f t="shared" si="11"/>
        <v>4971400</v>
      </c>
      <c r="P121" s="516" t="s">
        <v>67</v>
      </c>
      <c r="Q121" s="517"/>
      <c r="R121" s="517"/>
      <c r="S121" s="517"/>
      <c r="T121" s="62">
        <f>T118*0.15</f>
        <v>860.34375</v>
      </c>
      <c r="U121" s="62">
        <f>U118*0.15</f>
        <v>0</v>
      </c>
      <c r="W121" s="77"/>
      <c r="X121" s="50" t="s">
        <v>41</v>
      </c>
      <c r="Y121" s="62">
        <f>SUM(T118:T121)</f>
        <v>10897.6875</v>
      </c>
      <c r="Z121" s="62">
        <f>SUM(U118:U121)</f>
        <v>0</v>
      </c>
      <c r="AA121" s="430">
        <f>IF(KOD!Q94=4,"+","")</f>
      </c>
    </row>
    <row r="122" spans="2:27" ht="13.5">
      <c r="B122" s="150">
        <v>20000</v>
      </c>
      <c r="C122" s="254">
        <f t="shared" si="1"/>
        <v>281400</v>
      </c>
      <c r="D122" s="254">
        <f t="shared" si="2"/>
        <v>792750</v>
      </c>
      <c r="E122" s="254">
        <f t="shared" si="3"/>
        <v>2045750</v>
      </c>
      <c r="F122" s="254">
        <f t="shared" si="4"/>
        <v>2404800</v>
      </c>
      <c r="G122" s="254">
        <f t="shared" si="5"/>
        <v>2815200</v>
      </c>
      <c r="H122" s="254">
        <f t="shared" si="6"/>
        <v>3201600</v>
      </c>
      <c r="I122" s="254">
        <f t="shared" si="7"/>
        <v>3440800</v>
      </c>
      <c r="J122" s="254">
        <f t="shared" si="8"/>
        <v>4260000</v>
      </c>
      <c r="K122" s="254">
        <f t="shared" si="9"/>
        <v>4450000</v>
      </c>
      <c r="L122" s="254">
        <f t="shared" si="10"/>
        <v>4860000</v>
      </c>
      <c r="M122" s="254">
        <f t="shared" si="11"/>
        <v>5360000</v>
      </c>
      <c r="P122" s="516" t="s">
        <v>59</v>
      </c>
      <c r="Q122" s="517"/>
      <c r="R122" s="517"/>
      <c r="S122" s="428" t="str">
        <f>IF(KOD!Q94&lt;5,"0",KOD!Q94-4)</f>
        <v>0</v>
      </c>
      <c r="T122" s="62">
        <f>T118*0.15*S122</f>
        <v>0</v>
      </c>
      <c r="U122" s="62">
        <f>U118*0.15*S122</f>
        <v>0</v>
      </c>
      <c r="W122" s="77"/>
      <c r="X122" s="50" t="str">
        <f>IF(Q94&lt;5,"-",CONCATENATE(Q94," Tip"))</f>
        <v>-</v>
      </c>
      <c r="Y122" s="431">
        <f>IF(KOD!Q94&lt;5,0,(T118+T119+T120+T121+T122))</f>
        <v>0</v>
      </c>
      <c r="Z122" s="431">
        <f>IF(KOD!Q94&lt;5,0,(U118+U119+U120+U121+U122))</f>
        <v>0</v>
      </c>
      <c r="AA122" s="430">
        <f>IF(KOD!Q94&gt;4,"+","")</f>
      </c>
    </row>
    <row r="123" spans="2:27" ht="13.5">
      <c r="B123" s="150">
        <v>22500</v>
      </c>
      <c r="C123" s="254">
        <f t="shared" si="1"/>
        <v>302400</v>
      </c>
      <c r="D123" s="254">
        <f t="shared" si="2"/>
        <v>844593.75</v>
      </c>
      <c r="E123" s="254">
        <f t="shared" si="3"/>
        <v>2163656.25</v>
      </c>
      <c r="F123" s="254">
        <f t="shared" si="4"/>
        <v>2543400</v>
      </c>
      <c r="G123" s="254">
        <f t="shared" si="5"/>
        <v>2977762.5</v>
      </c>
      <c r="H123" s="254">
        <f t="shared" si="6"/>
        <v>3386475</v>
      </c>
      <c r="I123" s="254">
        <f t="shared" si="7"/>
        <v>3639487.5</v>
      </c>
      <c r="J123" s="254">
        <f t="shared" si="8"/>
        <v>4504950</v>
      </c>
      <c r="K123" s="254">
        <f t="shared" si="9"/>
        <v>4705875</v>
      </c>
      <c r="L123" s="254">
        <f t="shared" si="10"/>
        <v>5139450</v>
      </c>
      <c r="M123" s="254">
        <f t="shared" si="11"/>
        <v>5668200</v>
      </c>
      <c r="P123" s="564"/>
      <c r="Q123" s="565"/>
      <c r="R123" s="565"/>
      <c r="S123" s="77"/>
      <c r="T123" s="84"/>
      <c r="U123" s="77"/>
      <c r="V123" s="77"/>
      <c r="W123" s="77"/>
      <c r="X123" s="50" t="s">
        <v>60</v>
      </c>
      <c r="Y123" s="431">
        <f>IF(KOD!Q94=0,Y118,IF(KOD!Q94=1,Y118,IF(KOD!Q94=2,Y119,IF(KOD!Q94=3,Y120,IF(KOD!Q94=4,Y121,IF(KOD!Q94&gt;4,Y122))))))</f>
        <v>5735.625</v>
      </c>
      <c r="Z123" s="431">
        <f>IF(KOD!Q94=0,Z118,IF(KOD!Q94=1,Z118,IF(KOD!Q94=2,Z119,IF(KOD!Q94=3,Z120,IF(KOD!Q94=4,Z121,IF(KOD!Q94&gt;4,Z122))))))</f>
        <v>0</v>
      </c>
      <c r="AA123" s="82"/>
    </row>
    <row r="124" spans="2:27" ht="13.5">
      <c r="B124" s="150">
        <v>25000</v>
      </c>
      <c r="C124" s="254">
        <f t="shared" si="1"/>
        <v>320250</v>
      </c>
      <c r="D124" s="254">
        <f t="shared" si="2"/>
        <v>885937.5</v>
      </c>
      <c r="E124" s="254">
        <f t="shared" si="3"/>
        <v>2296875</v>
      </c>
      <c r="F124" s="254">
        <f t="shared" si="4"/>
        <v>2700000</v>
      </c>
      <c r="G124" s="254">
        <f t="shared" si="5"/>
        <v>3136500</v>
      </c>
      <c r="H124" s="254">
        <f t="shared" si="6"/>
        <v>3567000</v>
      </c>
      <c r="I124" s="254">
        <f t="shared" si="7"/>
        <v>3833500</v>
      </c>
      <c r="J124" s="254">
        <f t="shared" si="8"/>
        <v>4765875</v>
      </c>
      <c r="K124" s="254">
        <f t="shared" si="9"/>
        <v>4978437.5</v>
      </c>
      <c r="L124" s="254">
        <f t="shared" si="10"/>
        <v>5437125</v>
      </c>
      <c r="M124" s="254">
        <f t="shared" si="11"/>
        <v>5996500</v>
      </c>
      <c r="P124" s="76"/>
      <c r="Q124" s="77"/>
      <c r="R124" s="77"/>
      <c r="S124" s="77"/>
      <c r="T124" s="77"/>
      <c r="U124" s="77"/>
      <c r="V124" s="77"/>
      <c r="W124" s="77"/>
      <c r="X124" s="77"/>
      <c r="Y124" s="77"/>
      <c r="Z124" s="85"/>
      <c r="AA124" s="79"/>
    </row>
    <row r="125" spans="2:27" ht="13.5">
      <c r="B125" s="150">
        <v>27500</v>
      </c>
      <c r="C125" s="254">
        <f t="shared" si="1"/>
        <v>334949.99999999994</v>
      </c>
      <c r="D125" s="254">
        <f t="shared" si="2"/>
        <v>931218.75</v>
      </c>
      <c r="E125" s="254">
        <f t="shared" si="3"/>
        <v>2391812.5</v>
      </c>
      <c r="F125" s="254">
        <f t="shared" si="4"/>
        <v>2811600</v>
      </c>
      <c r="G125" s="254">
        <f t="shared" si="5"/>
        <v>3260812.5</v>
      </c>
      <c r="H125" s="254">
        <f t="shared" si="6"/>
        <v>3708375</v>
      </c>
      <c r="I125" s="254">
        <f t="shared" si="7"/>
        <v>3985437.5</v>
      </c>
      <c r="J125" s="254">
        <f t="shared" si="8"/>
        <v>4920300</v>
      </c>
      <c r="K125" s="254">
        <f t="shared" si="9"/>
        <v>5139750</v>
      </c>
      <c r="L125" s="254">
        <f t="shared" si="10"/>
        <v>5613300</v>
      </c>
      <c r="M125" s="254">
        <f t="shared" si="11"/>
        <v>6190800</v>
      </c>
      <c r="P125" s="76"/>
      <c r="Q125" s="77"/>
      <c r="R125" s="77"/>
      <c r="S125" s="77"/>
      <c r="T125" s="77"/>
      <c r="U125" s="77"/>
      <c r="V125" s="77"/>
      <c r="W125" s="78"/>
      <c r="X125" s="78"/>
      <c r="Y125" s="86"/>
      <c r="Z125" s="78"/>
      <c r="AA125" s="87"/>
    </row>
    <row r="126" spans="2:27" ht="13.5">
      <c r="B126" s="150">
        <v>30000</v>
      </c>
      <c r="C126" s="254">
        <f t="shared" si="1"/>
        <v>346500</v>
      </c>
      <c r="D126" s="254">
        <f t="shared" si="2"/>
        <v>960750</v>
      </c>
      <c r="E126" s="254">
        <f t="shared" si="3"/>
        <v>2480625.0000000005</v>
      </c>
      <c r="F126" s="254">
        <f t="shared" si="4"/>
        <v>2916000</v>
      </c>
      <c r="G126" s="254">
        <f t="shared" si="5"/>
        <v>3373650</v>
      </c>
      <c r="H126" s="254">
        <f t="shared" si="6"/>
        <v>3836700</v>
      </c>
      <c r="I126" s="254">
        <f t="shared" si="7"/>
        <v>4123350</v>
      </c>
      <c r="J126" s="254">
        <f t="shared" si="8"/>
        <v>5143950.000000001</v>
      </c>
      <c r="K126" s="254">
        <f t="shared" si="9"/>
        <v>5373375</v>
      </c>
      <c r="L126" s="254">
        <f t="shared" si="10"/>
        <v>5868450</v>
      </c>
      <c r="M126" s="254">
        <f t="shared" si="11"/>
        <v>6472200</v>
      </c>
      <c r="P126" s="76"/>
      <c r="Q126" s="77"/>
      <c r="R126" s="77"/>
      <c r="S126" s="77"/>
      <c r="T126" s="77"/>
      <c r="U126" s="77"/>
      <c r="V126" s="77"/>
      <c r="W126" s="78"/>
      <c r="X126" s="83"/>
      <c r="Y126" s="520" t="s">
        <v>62</v>
      </c>
      <c r="Z126" s="521"/>
      <c r="AA126" s="88"/>
    </row>
    <row r="127" spans="2:27" ht="13.5">
      <c r="B127" s="150">
        <v>32500</v>
      </c>
      <c r="C127" s="254">
        <f t="shared" si="1"/>
        <v>358312.5</v>
      </c>
      <c r="D127" s="254">
        <f t="shared" si="2"/>
        <v>1006687.5</v>
      </c>
      <c r="E127" s="254">
        <f t="shared" si="3"/>
        <v>2607718.75</v>
      </c>
      <c r="F127" s="254">
        <f t="shared" si="4"/>
        <v>3065400</v>
      </c>
      <c r="G127" s="254">
        <f t="shared" si="5"/>
        <v>3580200</v>
      </c>
      <c r="H127" s="254">
        <f t="shared" si="6"/>
        <v>4071600</v>
      </c>
      <c r="I127" s="254">
        <f t="shared" si="7"/>
        <v>4375800</v>
      </c>
      <c r="J127" s="254">
        <f t="shared" si="8"/>
        <v>5434162.5</v>
      </c>
      <c r="K127" s="254">
        <f t="shared" si="9"/>
        <v>5676531.25</v>
      </c>
      <c r="L127" s="254">
        <f t="shared" si="10"/>
        <v>6199537.5</v>
      </c>
      <c r="M127" s="254">
        <f t="shared" si="11"/>
        <v>6837350</v>
      </c>
      <c r="P127" s="516" t="s">
        <v>81</v>
      </c>
      <c r="Q127" s="517"/>
      <c r="R127" s="517"/>
      <c r="S127" s="517"/>
      <c r="T127" s="80" t="s">
        <v>14</v>
      </c>
      <c r="U127" s="81" t="s">
        <v>38</v>
      </c>
      <c r="W127" s="78"/>
      <c r="X127" s="83"/>
      <c r="Y127" s="89" t="s">
        <v>14</v>
      </c>
      <c r="Z127" s="90" t="s">
        <v>38</v>
      </c>
      <c r="AA127" s="88"/>
    </row>
    <row r="128" spans="2:27" ht="13.5">
      <c r="B128" s="150">
        <v>35000</v>
      </c>
      <c r="C128" s="254">
        <f t="shared" si="1"/>
        <v>371175</v>
      </c>
      <c r="D128" s="254">
        <f t="shared" si="2"/>
        <v>1047374.9999999999</v>
      </c>
      <c r="E128" s="254">
        <f t="shared" si="3"/>
        <v>2701125</v>
      </c>
      <c r="F128" s="254">
        <f t="shared" si="4"/>
        <v>3175200</v>
      </c>
      <c r="G128" s="254">
        <f t="shared" si="5"/>
        <v>3721725</v>
      </c>
      <c r="H128" s="254">
        <f t="shared" si="6"/>
        <v>4232550</v>
      </c>
      <c r="I128" s="254">
        <f t="shared" si="7"/>
        <v>4548774.999999999</v>
      </c>
      <c r="J128" s="254">
        <f t="shared" si="8"/>
        <v>5628525</v>
      </c>
      <c r="K128" s="254">
        <f t="shared" si="9"/>
        <v>5879562.5</v>
      </c>
      <c r="L128" s="254">
        <f t="shared" si="10"/>
        <v>6421275</v>
      </c>
      <c r="M128" s="254">
        <f t="shared" si="11"/>
        <v>7081900</v>
      </c>
      <c r="P128" s="516" t="s">
        <v>64</v>
      </c>
      <c r="Q128" s="517"/>
      <c r="R128" s="517"/>
      <c r="S128" s="517"/>
      <c r="T128" s="62">
        <f>M19*U93</f>
        <v>13510</v>
      </c>
      <c r="U128" s="62">
        <f>KOD!M49*U93</f>
        <v>255</v>
      </c>
      <c r="W128" s="78"/>
      <c r="X128" s="50" t="s">
        <v>63</v>
      </c>
      <c r="Y128" s="62">
        <f>T128</f>
        <v>13510</v>
      </c>
      <c r="Z128" s="62">
        <f>U128</f>
        <v>255</v>
      </c>
      <c r="AA128" s="82">
        <f>IF(U94=1,"+","")</f>
      </c>
    </row>
    <row r="129" spans="2:27" ht="13.5">
      <c r="B129" s="150">
        <v>37500</v>
      </c>
      <c r="C129" s="254">
        <f t="shared" si="1"/>
        <v>385875</v>
      </c>
      <c r="D129" s="254">
        <f t="shared" si="2"/>
        <v>1082812.5000000002</v>
      </c>
      <c r="E129" s="254">
        <f t="shared" si="3"/>
        <v>2802187.5</v>
      </c>
      <c r="F129" s="254">
        <f t="shared" si="4"/>
        <v>3294000</v>
      </c>
      <c r="G129" s="254">
        <f t="shared" si="5"/>
        <v>3844125</v>
      </c>
      <c r="H129" s="254">
        <f t="shared" si="6"/>
        <v>4371750</v>
      </c>
      <c r="I129" s="254">
        <f t="shared" si="7"/>
        <v>4698375</v>
      </c>
      <c r="J129" s="254">
        <f t="shared" si="8"/>
        <v>5830875</v>
      </c>
      <c r="K129" s="254">
        <f t="shared" si="9"/>
        <v>6090937.5</v>
      </c>
      <c r="L129" s="254">
        <f t="shared" si="10"/>
        <v>6652125</v>
      </c>
      <c r="M129" s="254">
        <f t="shared" si="11"/>
        <v>7336500</v>
      </c>
      <c r="P129" s="516" t="s">
        <v>65</v>
      </c>
      <c r="Q129" s="517"/>
      <c r="R129" s="517"/>
      <c r="S129" s="517"/>
      <c r="T129" s="62">
        <f>T128*0.5</f>
        <v>6755</v>
      </c>
      <c r="U129" s="62">
        <f>U128*0.5</f>
        <v>127.5</v>
      </c>
      <c r="W129" s="78"/>
      <c r="X129" s="50" t="s">
        <v>40</v>
      </c>
      <c r="Y129" s="62">
        <f>SUM(T128:T129)</f>
        <v>20265</v>
      </c>
      <c r="Z129" s="62">
        <f>SUM(U128:U129)</f>
        <v>382.5</v>
      </c>
      <c r="AA129" s="82">
        <f>IF(U94=2,"+","")</f>
      </c>
    </row>
    <row r="130" spans="2:27" ht="13.5">
      <c r="B130" s="150">
        <v>40000</v>
      </c>
      <c r="C130" s="254">
        <f t="shared" si="1"/>
        <v>399000</v>
      </c>
      <c r="D130" s="254">
        <f t="shared" si="2"/>
        <v>1123500</v>
      </c>
      <c r="E130" s="254">
        <f t="shared" si="3"/>
        <v>2891000</v>
      </c>
      <c r="F130" s="254">
        <f t="shared" si="4"/>
        <v>3398400</v>
      </c>
      <c r="G130" s="254">
        <f t="shared" si="5"/>
        <v>3978000</v>
      </c>
      <c r="H130" s="254">
        <f t="shared" si="6"/>
        <v>4524000</v>
      </c>
      <c r="I130" s="254">
        <f t="shared" si="7"/>
        <v>4862000</v>
      </c>
      <c r="J130" s="254">
        <f t="shared" si="8"/>
        <v>6006600</v>
      </c>
      <c r="K130" s="254">
        <f t="shared" si="9"/>
        <v>6274500</v>
      </c>
      <c r="L130" s="254">
        <f t="shared" si="10"/>
        <v>6852600</v>
      </c>
      <c r="M130" s="254">
        <f t="shared" si="11"/>
        <v>7557600</v>
      </c>
      <c r="P130" s="516" t="s">
        <v>66</v>
      </c>
      <c r="Q130" s="517"/>
      <c r="R130" s="517"/>
      <c r="S130" s="517"/>
      <c r="T130" s="62">
        <f>T128*0.25</f>
        <v>3377.5</v>
      </c>
      <c r="U130" s="62">
        <f>U128*0.25</f>
        <v>63.75</v>
      </c>
      <c r="W130" s="78"/>
      <c r="X130" s="50" t="s">
        <v>39</v>
      </c>
      <c r="Y130" s="62">
        <f>SUM(T128:T130)</f>
        <v>23642.5</v>
      </c>
      <c r="Z130" s="62">
        <f>SUM(U128:U130)</f>
        <v>446.25</v>
      </c>
      <c r="AA130" s="82">
        <f>IF(U94=3,"+","")</f>
      </c>
    </row>
    <row r="131" spans="2:27" ht="13.5">
      <c r="B131" s="150">
        <v>42500</v>
      </c>
      <c r="C131" s="254">
        <f t="shared" si="1"/>
        <v>410550</v>
      </c>
      <c r="D131" s="254">
        <f t="shared" si="2"/>
        <v>1160250</v>
      </c>
      <c r="E131" s="254">
        <f t="shared" si="3"/>
        <v>2993593.75</v>
      </c>
      <c r="F131" s="254">
        <f t="shared" si="4"/>
        <v>3519000</v>
      </c>
      <c r="G131" s="254">
        <f t="shared" si="5"/>
        <v>4096575</v>
      </c>
      <c r="H131" s="254">
        <f t="shared" si="6"/>
        <v>4658850</v>
      </c>
      <c r="I131" s="254">
        <f t="shared" si="7"/>
        <v>5006925</v>
      </c>
      <c r="J131" s="254">
        <f t="shared" si="8"/>
        <v>6200962.5</v>
      </c>
      <c r="K131" s="254">
        <f t="shared" si="9"/>
        <v>6477531.25</v>
      </c>
      <c r="L131" s="254">
        <f t="shared" si="10"/>
        <v>7074337.5</v>
      </c>
      <c r="M131" s="254">
        <f t="shared" si="11"/>
        <v>7802150.000000001</v>
      </c>
      <c r="P131" s="516" t="s">
        <v>67</v>
      </c>
      <c r="Q131" s="517"/>
      <c r="R131" s="517"/>
      <c r="S131" s="517"/>
      <c r="T131" s="62">
        <f>T128*0.15</f>
        <v>2026.5</v>
      </c>
      <c r="U131" s="62">
        <f>U128*0.15</f>
        <v>38.25</v>
      </c>
      <c r="W131" s="78"/>
      <c r="X131" s="50" t="s">
        <v>41</v>
      </c>
      <c r="Y131" s="62">
        <f>SUM(T128:T131)</f>
        <v>25669</v>
      </c>
      <c r="Z131" s="62">
        <f>SUM(U128:U131)</f>
        <v>484.5</v>
      </c>
      <c r="AA131" s="82">
        <f>IF(U94=4,"+","")</f>
      </c>
    </row>
    <row r="132" spans="2:27" ht="13.5">
      <c r="B132" s="150">
        <v>45000</v>
      </c>
      <c r="C132" s="254">
        <f t="shared" si="1"/>
        <v>420525</v>
      </c>
      <c r="D132" s="254">
        <f t="shared" si="2"/>
        <v>1193062.5</v>
      </c>
      <c r="E132" s="254">
        <f t="shared" si="3"/>
        <v>3059437.5</v>
      </c>
      <c r="F132" s="254">
        <f t="shared" si="4"/>
        <v>3596400.0000000005</v>
      </c>
      <c r="G132" s="254">
        <f t="shared" si="5"/>
        <v>4234275</v>
      </c>
      <c r="H132" s="254">
        <f t="shared" si="6"/>
        <v>4815450</v>
      </c>
      <c r="I132" s="254">
        <f t="shared" si="7"/>
        <v>5175225</v>
      </c>
      <c r="J132" s="254">
        <f t="shared" si="8"/>
        <v>6374025</v>
      </c>
      <c r="K132" s="254">
        <f t="shared" si="9"/>
        <v>6658312.5</v>
      </c>
      <c r="L132" s="254">
        <f t="shared" si="10"/>
        <v>7271775</v>
      </c>
      <c r="M132" s="254">
        <f t="shared" si="11"/>
        <v>8019900</v>
      </c>
      <c r="P132" s="516" t="s">
        <v>59</v>
      </c>
      <c r="Q132" s="517"/>
      <c r="R132" s="517"/>
      <c r="S132" s="80">
        <f>IF(U94&lt;5,0,(U94-4))</f>
        <v>0</v>
      </c>
      <c r="T132" s="62">
        <f>T128*0.15*S132</f>
        <v>0</v>
      </c>
      <c r="U132" s="62">
        <f>IF(S132&lt;0,0,((U131*S132)))</f>
        <v>0</v>
      </c>
      <c r="W132" s="78"/>
      <c r="X132" s="50" t="str">
        <f>IF(KOD!U94&lt;5,"-",CONCATENATE(U94," Tip"))</f>
        <v>-</v>
      </c>
      <c r="Y132" s="62">
        <f>IF(U94&lt;5,0,(T128+T129+T130+T131+T132))</f>
        <v>0</v>
      </c>
      <c r="Z132" s="62">
        <f>IF(U94&lt;5,0,(U128+U129+U130+U131+U132))</f>
        <v>0</v>
      </c>
      <c r="AA132" s="82">
        <f>IF(U94&gt;4,"+","")</f>
      </c>
    </row>
    <row r="133" spans="2:27" ht="14.25" thickBot="1">
      <c r="B133" s="150">
        <v>47500</v>
      </c>
      <c r="C133" s="254">
        <f t="shared" si="1"/>
        <v>433912.5</v>
      </c>
      <c r="D133" s="254">
        <f t="shared" si="2"/>
        <v>1221937.5</v>
      </c>
      <c r="E133" s="254">
        <f t="shared" si="3"/>
        <v>3142125</v>
      </c>
      <c r="F133" s="254">
        <f t="shared" si="4"/>
        <v>3693600</v>
      </c>
      <c r="G133" s="254">
        <f t="shared" si="5"/>
        <v>4324162.5</v>
      </c>
      <c r="H133" s="254">
        <f t="shared" si="6"/>
        <v>4917675</v>
      </c>
      <c r="I133" s="254">
        <f t="shared" si="7"/>
        <v>5285087.5</v>
      </c>
      <c r="J133" s="254">
        <f t="shared" si="8"/>
        <v>6576375</v>
      </c>
      <c r="K133" s="254">
        <f t="shared" si="9"/>
        <v>6869687.5</v>
      </c>
      <c r="L133" s="254">
        <f t="shared" si="10"/>
        <v>7502625</v>
      </c>
      <c r="M133" s="254">
        <f t="shared" si="11"/>
        <v>8274500</v>
      </c>
      <c r="P133" s="91"/>
      <c r="Q133" s="92"/>
      <c r="R133" s="92"/>
      <c r="S133" s="92"/>
      <c r="T133" s="92"/>
      <c r="U133" s="92"/>
      <c r="V133" s="92"/>
      <c r="W133" s="93"/>
      <c r="X133" s="94" t="s">
        <v>60</v>
      </c>
      <c r="Y133" s="95">
        <f>IF(U94=0,0,IF(U94=1,Y128,IF(U94=2,Y129,IF(U94=3,Y130,IF(U94=4,Y131,IF(U94&gt;4,Y132))))))</f>
        <v>0</v>
      </c>
      <c r="Z133" s="95">
        <f>IF(U94=0,0,IF(U94=1,Z128,IF(U94=2,Z129,IF(U94=3,Z130,IF(U94=4,Z131,IF(U94&gt;4,Z132))))))</f>
        <v>0</v>
      </c>
      <c r="AA133" s="96"/>
    </row>
    <row r="134" spans="2:27" ht="14.25" thickBot="1">
      <c r="B134" s="150">
        <v>50000</v>
      </c>
      <c r="C134" s="254">
        <f t="shared" si="1"/>
        <v>446250</v>
      </c>
      <c r="D134" s="254">
        <f t="shared" si="2"/>
        <v>1260000</v>
      </c>
      <c r="E134" s="254">
        <f t="shared" si="3"/>
        <v>3215625</v>
      </c>
      <c r="F134" s="254">
        <f t="shared" si="4"/>
        <v>3780000</v>
      </c>
      <c r="G134" s="254">
        <f t="shared" si="5"/>
        <v>4436999.999999999</v>
      </c>
      <c r="H134" s="254">
        <f t="shared" si="6"/>
        <v>5045999.999999999</v>
      </c>
      <c r="I134" s="254">
        <f t="shared" si="7"/>
        <v>5423000</v>
      </c>
      <c r="J134" s="254">
        <f t="shared" si="8"/>
        <v>6709500</v>
      </c>
      <c r="K134" s="254">
        <f t="shared" si="9"/>
        <v>7008750</v>
      </c>
      <c r="L134" s="254">
        <f t="shared" si="10"/>
        <v>7654500</v>
      </c>
      <c r="M134" s="254">
        <f t="shared" si="11"/>
        <v>8442000</v>
      </c>
      <c r="P134" s="250"/>
      <c r="Q134" s="251"/>
      <c r="R134" s="251"/>
      <c r="S134" s="251"/>
      <c r="T134" s="251"/>
      <c r="U134" s="251"/>
      <c r="V134" s="251"/>
      <c r="W134" s="251"/>
      <c r="X134" s="251"/>
      <c r="Y134" s="251"/>
      <c r="Z134" s="251"/>
      <c r="AA134" s="252"/>
    </row>
    <row r="135" spans="2:27" ht="13.5">
      <c r="B135" s="150">
        <v>55000</v>
      </c>
      <c r="C135" s="254">
        <f t="shared" si="1"/>
        <v>467775</v>
      </c>
      <c r="D135" s="254">
        <f t="shared" si="2"/>
        <v>1313812.5</v>
      </c>
      <c r="E135" s="254">
        <f t="shared" si="3"/>
        <v>3368750</v>
      </c>
      <c r="F135" s="254">
        <f t="shared" si="4"/>
        <v>3960000</v>
      </c>
      <c r="G135" s="254">
        <f t="shared" si="5"/>
        <v>4670325.000000001</v>
      </c>
      <c r="H135" s="254">
        <f t="shared" si="6"/>
        <v>5311350.000000001</v>
      </c>
      <c r="I135" s="254">
        <f t="shared" si="7"/>
        <v>5708175</v>
      </c>
      <c r="J135" s="254">
        <f t="shared" si="8"/>
        <v>7029000</v>
      </c>
      <c r="K135" s="254">
        <f t="shared" si="9"/>
        <v>7342500</v>
      </c>
      <c r="L135" s="254">
        <f t="shared" si="10"/>
        <v>8019000</v>
      </c>
      <c r="M135" s="254">
        <f t="shared" si="11"/>
        <v>8844000</v>
      </c>
      <c r="P135" s="495" t="s">
        <v>74</v>
      </c>
      <c r="Q135" s="496"/>
      <c r="R135" s="496"/>
      <c r="S135" s="496"/>
      <c r="T135" s="496"/>
      <c r="U135" s="496"/>
      <c r="V135" s="496"/>
      <c r="W135" s="496"/>
      <c r="X135" s="496"/>
      <c r="Y135" s="496"/>
      <c r="Z135" s="496"/>
      <c r="AA135" s="497"/>
    </row>
    <row r="136" spans="2:27" ht="14.25" thickBot="1">
      <c r="B136" s="150">
        <v>60000</v>
      </c>
      <c r="C136" s="254">
        <f t="shared" si="1"/>
        <v>485100</v>
      </c>
      <c r="D136" s="254">
        <f t="shared" si="2"/>
        <v>1370250</v>
      </c>
      <c r="E136" s="254">
        <f t="shared" si="3"/>
        <v>3528000</v>
      </c>
      <c r="F136" s="254">
        <f t="shared" si="4"/>
        <v>4147200</v>
      </c>
      <c r="G136" s="254">
        <f t="shared" si="5"/>
        <v>4865400</v>
      </c>
      <c r="H136" s="254">
        <f t="shared" si="6"/>
        <v>5533200</v>
      </c>
      <c r="I136" s="254">
        <f t="shared" si="7"/>
        <v>5946600</v>
      </c>
      <c r="J136" s="254">
        <f t="shared" si="8"/>
        <v>7348500</v>
      </c>
      <c r="K136" s="254">
        <f t="shared" si="9"/>
        <v>7676250</v>
      </c>
      <c r="L136" s="254">
        <f t="shared" si="10"/>
        <v>8383499.999999999</v>
      </c>
      <c r="M136" s="254">
        <f t="shared" si="11"/>
        <v>9245999.999999998</v>
      </c>
      <c r="P136" s="498"/>
      <c r="Q136" s="499"/>
      <c r="R136" s="499"/>
      <c r="S136" s="499"/>
      <c r="T136" s="499"/>
      <c r="U136" s="499"/>
      <c r="V136" s="499"/>
      <c r="W136" s="499"/>
      <c r="X136" s="499"/>
      <c r="Y136" s="499"/>
      <c r="Z136" s="499"/>
      <c r="AA136" s="500"/>
    </row>
    <row r="137" spans="2:27" ht="13.5">
      <c r="B137" s="150">
        <v>65000</v>
      </c>
      <c r="C137" s="254">
        <f t="shared" si="1"/>
        <v>505050</v>
      </c>
      <c r="D137" s="254">
        <f t="shared" si="2"/>
        <v>1433250</v>
      </c>
      <c r="E137" s="254">
        <f t="shared" si="3"/>
        <v>3702562.5</v>
      </c>
      <c r="F137" s="254">
        <f t="shared" si="4"/>
        <v>4352400</v>
      </c>
      <c r="G137" s="254">
        <f t="shared" si="5"/>
        <v>5071950</v>
      </c>
      <c r="H137" s="254">
        <f t="shared" si="6"/>
        <v>5768100</v>
      </c>
      <c r="I137" s="254">
        <f t="shared" si="7"/>
        <v>6199050</v>
      </c>
      <c r="J137" s="254">
        <f t="shared" si="8"/>
        <v>7683975.000000001</v>
      </c>
      <c r="K137" s="254">
        <f t="shared" si="9"/>
        <v>8026687.500000001</v>
      </c>
      <c r="L137" s="254">
        <f t="shared" si="10"/>
        <v>8766225.000000002</v>
      </c>
      <c r="M137" s="254">
        <f t="shared" si="11"/>
        <v>9668100.000000002</v>
      </c>
      <c r="P137" s="101"/>
      <c r="Q137" s="102"/>
      <c r="R137" s="102"/>
      <c r="S137" s="102"/>
      <c r="T137" s="102"/>
      <c r="U137" s="102"/>
      <c r="V137" s="102"/>
      <c r="W137" s="99"/>
      <c r="X137" s="99"/>
      <c r="Y137" s="522" t="s">
        <v>61</v>
      </c>
      <c r="Z137" s="522"/>
      <c r="AA137" s="100"/>
    </row>
    <row r="138" spans="2:27" ht="13.5">
      <c r="B138" s="150">
        <v>70000</v>
      </c>
      <c r="C138" s="254">
        <f t="shared" si="1"/>
        <v>529200</v>
      </c>
      <c r="D138" s="254">
        <f t="shared" si="2"/>
        <v>1488375</v>
      </c>
      <c r="E138" s="254">
        <f t="shared" si="3"/>
        <v>3815875</v>
      </c>
      <c r="F138" s="254">
        <f t="shared" si="4"/>
        <v>4485600</v>
      </c>
      <c r="G138" s="254">
        <f t="shared" si="5"/>
        <v>5247900</v>
      </c>
      <c r="H138" s="254">
        <f t="shared" si="6"/>
        <v>5968200</v>
      </c>
      <c r="I138" s="254">
        <f t="shared" si="7"/>
        <v>6414100</v>
      </c>
      <c r="J138" s="254">
        <f t="shared" si="8"/>
        <v>7976850</v>
      </c>
      <c r="K138" s="254">
        <f t="shared" si="9"/>
        <v>8332625</v>
      </c>
      <c r="L138" s="254">
        <f t="shared" si="10"/>
        <v>9100350</v>
      </c>
      <c r="M138" s="254">
        <f t="shared" si="11"/>
        <v>10036600</v>
      </c>
      <c r="P138" s="501" t="s">
        <v>84</v>
      </c>
      <c r="Q138" s="475"/>
      <c r="R138" s="475"/>
      <c r="S138" s="475"/>
      <c r="T138" s="103" t="s">
        <v>14</v>
      </c>
      <c r="U138" s="104" t="s">
        <v>38</v>
      </c>
      <c r="V138" s="140"/>
      <c r="W138" s="102"/>
      <c r="X138" s="102"/>
      <c r="Y138" s="103" t="s">
        <v>14</v>
      </c>
      <c r="Z138" s="104" t="s">
        <v>38</v>
      </c>
      <c r="AA138" s="100"/>
    </row>
    <row r="139" spans="2:27" ht="13.5">
      <c r="B139" s="150">
        <v>75000</v>
      </c>
      <c r="C139" s="254">
        <f t="shared" si="1"/>
        <v>543374.9999999999</v>
      </c>
      <c r="D139" s="254">
        <f t="shared" si="2"/>
        <v>1535625</v>
      </c>
      <c r="E139" s="254">
        <f t="shared" si="3"/>
        <v>3950625</v>
      </c>
      <c r="F139" s="254">
        <f t="shared" si="4"/>
        <v>4644000</v>
      </c>
      <c r="G139" s="254">
        <f t="shared" si="5"/>
        <v>5450625</v>
      </c>
      <c r="H139" s="254">
        <f t="shared" si="6"/>
        <v>6198750</v>
      </c>
      <c r="I139" s="254">
        <f t="shared" si="7"/>
        <v>6661875</v>
      </c>
      <c r="J139" s="254">
        <f t="shared" si="8"/>
        <v>8227125</v>
      </c>
      <c r="K139" s="254">
        <f t="shared" si="9"/>
        <v>8594062.5</v>
      </c>
      <c r="L139" s="254">
        <f t="shared" si="10"/>
        <v>9385875</v>
      </c>
      <c r="M139" s="254">
        <f t="shared" si="11"/>
        <v>10351500</v>
      </c>
      <c r="N139" s="42"/>
      <c r="P139" s="501" t="s">
        <v>64</v>
      </c>
      <c r="Q139" s="475"/>
      <c r="R139" s="475"/>
      <c r="S139" s="475"/>
      <c r="T139" s="105">
        <f>T118</f>
        <v>5735.625</v>
      </c>
      <c r="U139" s="141">
        <f>IF(Q93=1,C194,IF(Q93=2,D194,IF((OR(Q93="3A",Q93="3B")),E194,IF((OR(Q93="4a",Q93="4b",Q93="4c")),F194,IF((OR(Q93="5a",Q93="5b",Q93="5c",Q93="5d")),G194,"-")))))</f>
        <v>235</v>
      </c>
      <c r="V139" s="139"/>
      <c r="W139" s="102"/>
      <c r="X139" s="106" t="s">
        <v>63</v>
      </c>
      <c r="Y139" s="105">
        <f>T139</f>
        <v>5735.625</v>
      </c>
      <c r="Z139" s="105">
        <f>U139</f>
        <v>235</v>
      </c>
      <c r="AA139" s="100"/>
    </row>
    <row r="140" spans="2:27" ht="13.5">
      <c r="B140" s="151">
        <v>80000</v>
      </c>
      <c r="C140" s="255">
        <f t="shared" si="1"/>
        <v>562800</v>
      </c>
      <c r="D140" s="255">
        <f t="shared" si="2"/>
        <v>1575000</v>
      </c>
      <c r="E140" s="255">
        <f t="shared" si="3"/>
        <v>4067000</v>
      </c>
      <c r="F140" s="255">
        <f t="shared" si="4"/>
        <v>4780800</v>
      </c>
      <c r="G140" s="255">
        <f t="shared" si="5"/>
        <v>5630400</v>
      </c>
      <c r="H140" s="255">
        <f t="shared" si="6"/>
        <v>6403200</v>
      </c>
      <c r="I140" s="255">
        <f t="shared" si="7"/>
        <v>6881600</v>
      </c>
      <c r="J140" s="255">
        <f t="shared" si="8"/>
        <v>8520000</v>
      </c>
      <c r="K140" s="255">
        <f t="shared" si="9"/>
        <v>8900000</v>
      </c>
      <c r="L140" s="255">
        <f t="shared" si="10"/>
        <v>9720000</v>
      </c>
      <c r="M140" s="255">
        <f t="shared" si="11"/>
        <v>10720000</v>
      </c>
      <c r="N140" s="42"/>
      <c r="P140" s="501" t="s">
        <v>65</v>
      </c>
      <c r="Q140" s="475"/>
      <c r="R140" s="475"/>
      <c r="S140" s="475"/>
      <c r="T140" s="105">
        <f>T119</f>
        <v>2867.8125</v>
      </c>
      <c r="U140" s="105">
        <f>U139*0.5</f>
        <v>117.5</v>
      </c>
      <c r="V140" s="139"/>
      <c r="W140" s="102"/>
      <c r="X140" s="106" t="s">
        <v>40</v>
      </c>
      <c r="Y140" s="105">
        <f>SUM(T139:T140)</f>
        <v>8603.4375</v>
      </c>
      <c r="Z140" s="105">
        <f>U139+U140</f>
        <v>352.5</v>
      </c>
      <c r="AA140" s="100"/>
    </row>
    <row r="141" spans="2:27" ht="13.5">
      <c r="B141" s="42"/>
      <c r="C141" s="42"/>
      <c r="D141" s="42"/>
      <c r="E141" s="42"/>
      <c r="F141" s="42"/>
      <c r="G141" s="42"/>
      <c r="H141" s="42"/>
      <c r="I141" s="42"/>
      <c r="J141" s="42"/>
      <c r="K141" s="42"/>
      <c r="L141" s="42"/>
      <c r="M141" s="42"/>
      <c r="N141" s="42"/>
      <c r="P141" s="501" t="s">
        <v>66</v>
      </c>
      <c r="Q141" s="475"/>
      <c r="R141" s="475"/>
      <c r="S141" s="475"/>
      <c r="T141" s="105">
        <f>T120</f>
        <v>1433.90625</v>
      </c>
      <c r="U141" s="105">
        <f>U139*0.25</f>
        <v>58.75</v>
      </c>
      <c r="V141" s="139"/>
      <c r="W141" s="102"/>
      <c r="X141" s="106" t="s">
        <v>39</v>
      </c>
      <c r="Y141" s="105">
        <f>SUM(T139:T141)</f>
        <v>10037.34375</v>
      </c>
      <c r="Z141" s="105">
        <f>U139+U140+U141</f>
        <v>411.25</v>
      </c>
      <c r="AA141" s="100"/>
    </row>
    <row r="142" spans="2:27" ht="13.5">
      <c r="B142" s="523" t="s">
        <v>110</v>
      </c>
      <c r="C142" s="524"/>
      <c r="D142" s="524"/>
      <c r="E142" s="524"/>
      <c r="F142" s="524"/>
      <c r="G142" s="524"/>
      <c r="H142" s="524"/>
      <c r="I142" s="524"/>
      <c r="J142" s="524"/>
      <c r="K142" s="524"/>
      <c r="L142" s="524"/>
      <c r="M142" s="525"/>
      <c r="P142" s="501" t="s">
        <v>67</v>
      </c>
      <c r="Q142" s="475"/>
      <c r="R142" s="475"/>
      <c r="S142" s="475"/>
      <c r="T142" s="105">
        <f>T121</f>
        <v>860.34375</v>
      </c>
      <c r="U142" s="105">
        <f>U139*0.15</f>
        <v>35.25</v>
      </c>
      <c r="V142" s="139"/>
      <c r="W142" s="102"/>
      <c r="X142" s="106" t="s">
        <v>41</v>
      </c>
      <c r="Y142" s="105">
        <f>SUM(T139:T142)</f>
        <v>10897.6875</v>
      </c>
      <c r="Z142" s="105">
        <f>U139+U140+U141+U142</f>
        <v>446.5</v>
      </c>
      <c r="AA142" s="100"/>
    </row>
    <row r="143" spans="2:27" ht="13.5">
      <c r="B143" s="491" t="str">
        <f>CONCATENATE("01.01.",M3,"-","31.12.",(M3)," tarihleri arasında geçerlidir")</f>
        <v>01.01.2024-31.12.2024 tarihleri arasında geçerlidir</v>
      </c>
      <c r="C143" s="492"/>
      <c r="D143" s="492"/>
      <c r="E143" s="492"/>
      <c r="F143" s="492"/>
      <c r="G143" s="492"/>
      <c r="H143" s="492"/>
      <c r="I143" s="492"/>
      <c r="J143" s="492"/>
      <c r="K143" s="492"/>
      <c r="L143" s="492"/>
      <c r="M143" s="493"/>
      <c r="P143" s="501" t="s">
        <v>59</v>
      </c>
      <c r="Q143" s="475"/>
      <c r="R143" s="475"/>
      <c r="S143" s="107" t="str">
        <f>IF(Q94&lt;5,"0",Q94-4)</f>
        <v>0</v>
      </c>
      <c r="T143" s="105">
        <f>T122</f>
        <v>0</v>
      </c>
      <c r="U143" s="105">
        <f>IF(Q94&gt;4,U139*0.15*S143,0)</f>
        <v>0</v>
      </c>
      <c r="V143" s="138"/>
      <c r="W143" s="102"/>
      <c r="X143" s="106" t="str">
        <f>IF(Q94&lt;5,"-",CONCATENATE(Q94," Tip"))</f>
        <v>-</v>
      </c>
      <c r="Y143" s="105">
        <f>SUM(T139:T143)</f>
        <v>10897.6875</v>
      </c>
      <c r="Z143" s="105">
        <f>IF(Q94&lt;5,0,(SUM(U139:U143)))</f>
        <v>0</v>
      </c>
      <c r="AA143" s="100"/>
    </row>
    <row r="144" spans="2:27" ht="13.5">
      <c r="B144" s="147" t="s">
        <v>15</v>
      </c>
      <c r="C144" s="148" t="s">
        <v>9</v>
      </c>
      <c r="D144" s="148" t="s">
        <v>16</v>
      </c>
      <c r="E144" s="148" t="s">
        <v>8</v>
      </c>
      <c r="F144" s="148" t="s">
        <v>7</v>
      </c>
      <c r="G144" s="148" t="s">
        <v>6</v>
      </c>
      <c r="H144" s="148" t="s">
        <v>5</v>
      </c>
      <c r="I144" s="148" t="s">
        <v>1</v>
      </c>
      <c r="J144" s="148" t="s">
        <v>0</v>
      </c>
      <c r="K144" s="148" t="s">
        <v>4</v>
      </c>
      <c r="L144" s="148" t="s">
        <v>3</v>
      </c>
      <c r="M144" s="148" t="s">
        <v>2</v>
      </c>
      <c r="P144" s="502"/>
      <c r="Q144" s="503"/>
      <c r="R144" s="102"/>
      <c r="S144" s="109"/>
      <c r="T144" s="102"/>
      <c r="U144" s="138"/>
      <c r="W144" s="102"/>
      <c r="X144" s="106" t="s">
        <v>60</v>
      </c>
      <c r="Y144" s="105">
        <f>IF(Q94=0,Y139,IF(Q94=1,Y139,IF(Q94=2,Y140,IF(Q94=3,Y141,IF(Q94=4,Y142,IF(Q94&gt;4,Y143))))))</f>
        <v>5735.625</v>
      </c>
      <c r="Z144" s="105">
        <f>IF(Q94=0,Z139,IF(Q94=1,Z139,IF(Q94=2,Z140,IF(Q94=3,Z141,IF(Q94=4,Z142,IF(Q94&gt;4,(Z142+U143)))))))</f>
        <v>235</v>
      </c>
      <c r="AA144" s="100"/>
    </row>
    <row r="145" spans="2:27" ht="13.5">
      <c r="B145" s="147"/>
      <c r="C145" s="152"/>
      <c r="D145" s="152"/>
      <c r="E145" s="152"/>
      <c r="F145" s="152"/>
      <c r="G145" s="152"/>
      <c r="H145" s="152"/>
      <c r="I145" s="152"/>
      <c r="J145" s="152"/>
      <c r="K145" s="152"/>
      <c r="L145" s="152"/>
      <c r="M145" s="152"/>
      <c r="P145" s="101"/>
      <c r="Q145" s="102"/>
      <c r="R145" s="102"/>
      <c r="S145" s="102"/>
      <c r="T145" s="102"/>
      <c r="U145" s="47"/>
      <c r="W145" s="102"/>
      <c r="X145" s="102"/>
      <c r="Y145" s="102"/>
      <c r="Z145" s="110"/>
      <c r="AA145" s="100"/>
    </row>
    <row r="146" spans="2:27" ht="13.5">
      <c r="B146" s="147" t="s">
        <v>17</v>
      </c>
      <c r="C146" s="148" t="s">
        <v>205</v>
      </c>
      <c r="D146" s="148" t="s">
        <v>205</v>
      </c>
      <c r="E146" s="148" t="s">
        <v>205</v>
      </c>
      <c r="F146" s="148" t="s">
        <v>205</v>
      </c>
      <c r="G146" s="148" t="s">
        <v>205</v>
      </c>
      <c r="H146" s="148" t="s">
        <v>205</v>
      </c>
      <c r="I146" s="148" t="s">
        <v>205</v>
      </c>
      <c r="J146" s="148" t="s">
        <v>205</v>
      </c>
      <c r="K146" s="148" t="s">
        <v>205</v>
      </c>
      <c r="L146" s="148" t="s">
        <v>205</v>
      </c>
      <c r="M146" s="148" t="s">
        <v>205</v>
      </c>
      <c r="P146" s="101"/>
      <c r="Q146" s="102"/>
      <c r="R146" s="102"/>
      <c r="S146" s="102"/>
      <c r="T146" s="111"/>
      <c r="U146" s="102"/>
      <c r="W146" s="99"/>
      <c r="X146" s="99"/>
      <c r="Y146" s="112"/>
      <c r="Z146" s="99"/>
      <c r="AA146" s="100"/>
    </row>
    <row r="147" spans="2:27" ht="13.5">
      <c r="B147" s="115">
        <v>250</v>
      </c>
      <c r="C147" s="253"/>
      <c r="D147" s="253"/>
      <c r="E147" s="253"/>
      <c r="F147" s="253"/>
      <c r="G147" s="253"/>
      <c r="H147" s="253"/>
      <c r="I147" s="253"/>
      <c r="J147" s="253"/>
      <c r="K147" s="253"/>
      <c r="L147" s="253"/>
      <c r="M147" s="253"/>
      <c r="P147" s="101"/>
      <c r="Q147" s="102"/>
      <c r="R147" s="102"/>
      <c r="S147" s="102"/>
      <c r="T147" s="102"/>
      <c r="U147" s="102"/>
      <c r="W147" s="99"/>
      <c r="X147" s="108"/>
      <c r="Y147" s="504" t="s">
        <v>62</v>
      </c>
      <c r="Z147" s="505"/>
      <c r="AA147" s="100"/>
    </row>
    <row r="148" spans="2:27" ht="13.5">
      <c r="B148" s="116">
        <v>300</v>
      </c>
      <c r="C148" s="254"/>
      <c r="D148" s="254"/>
      <c r="E148" s="254"/>
      <c r="F148" s="254"/>
      <c r="G148" s="254"/>
      <c r="H148" s="254"/>
      <c r="I148" s="254"/>
      <c r="J148" s="254"/>
      <c r="K148" s="254"/>
      <c r="L148" s="254"/>
      <c r="M148" s="254"/>
      <c r="P148" s="501" t="s">
        <v>83</v>
      </c>
      <c r="Q148" s="475"/>
      <c r="R148" s="475"/>
      <c r="S148" s="475"/>
      <c r="T148" s="103" t="s">
        <v>14</v>
      </c>
      <c r="U148" s="104" t="s">
        <v>38</v>
      </c>
      <c r="W148" s="99"/>
      <c r="X148" s="142"/>
      <c r="Y148" s="113" t="s">
        <v>14</v>
      </c>
      <c r="Z148" s="114" t="s">
        <v>38</v>
      </c>
      <c r="AA148" s="100"/>
    </row>
    <row r="149" spans="2:27" ht="13.5">
      <c r="B149" s="116">
        <v>400</v>
      </c>
      <c r="C149" s="254"/>
      <c r="D149" s="254"/>
      <c r="E149" s="254"/>
      <c r="F149" s="254"/>
      <c r="G149" s="254"/>
      <c r="H149" s="254"/>
      <c r="I149" s="254"/>
      <c r="J149" s="254"/>
      <c r="K149" s="254"/>
      <c r="L149" s="254"/>
      <c r="M149" s="254"/>
      <c r="P149" s="501" t="s">
        <v>64</v>
      </c>
      <c r="Q149" s="475"/>
      <c r="R149" s="475"/>
      <c r="S149" s="475"/>
      <c r="T149" s="105">
        <f>T128</f>
        <v>13510</v>
      </c>
      <c r="U149" s="137">
        <f>M49*U93</f>
        <v>255</v>
      </c>
      <c r="W149" s="99"/>
      <c r="X149" s="106" t="s">
        <v>63</v>
      </c>
      <c r="Y149" s="105">
        <f>T149</f>
        <v>13510</v>
      </c>
      <c r="Z149" s="105">
        <f>U149</f>
        <v>255</v>
      </c>
      <c r="AA149" s="100"/>
    </row>
    <row r="150" spans="2:27" ht="13.5">
      <c r="B150" s="116">
        <v>500</v>
      </c>
      <c r="C150" s="254"/>
      <c r="D150" s="254"/>
      <c r="E150" s="254"/>
      <c r="F150" s="254"/>
      <c r="G150" s="254"/>
      <c r="H150" s="254"/>
      <c r="I150" s="254"/>
      <c r="J150" s="254"/>
      <c r="K150" s="254"/>
      <c r="L150" s="254"/>
      <c r="M150" s="254"/>
      <c r="P150" s="501" t="s">
        <v>65</v>
      </c>
      <c r="Q150" s="475"/>
      <c r="R150" s="475"/>
      <c r="S150" s="475"/>
      <c r="T150" s="105">
        <f>T129</f>
        <v>6755</v>
      </c>
      <c r="U150" s="137">
        <f>U149*0.5</f>
        <v>127.5</v>
      </c>
      <c r="W150" s="99"/>
      <c r="X150" s="106" t="s">
        <v>40</v>
      </c>
      <c r="Y150" s="105">
        <f>SUM(T149:T150)</f>
        <v>20265</v>
      </c>
      <c r="Z150" s="105">
        <f>SUM(U149:U150)</f>
        <v>382.5</v>
      </c>
      <c r="AA150" s="100"/>
    </row>
    <row r="151" spans="2:27" ht="13.5">
      <c r="B151" s="116">
        <v>600</v>
      </c>
      <c r="C151" s="254"/>
      <c r="D151" s="254"/>
      <c r="E151" s="254"/>
      <c r="F151" s="254"/>
      <c r="G151" s="254"/>
      <c r="H151" s="254"/>
      <c r="I151" s="254"/>
      <c r="J151" s="254"/>
      <c r="K151" s="254"/>
      <c r="L151" s="254"/>
      <c r="M151" s="254"/>
      <c r="P151" s="501" t="s">
        <v>66</v>
      </c>
      <c r="Q151" s="475"/>
      <c r="R151" s="475"/>
      <c r="S151" s="475"/>
      <c r="T151" s="105">
        <f>T130</f>
        <v>3377.5</v>
      </c>
      <c r="U151" s="137">
        <f>U149*0.25</f>
        <v>63.75</v>
      </c>
      <c r="W151" s="99"/>
      <c r="X151" s="106" t="s">
        <v>39</v>
      </c>
      <c r="Y151" s="105">
        <f>SUM(T149:T151)</f>
        <v>23642.5</v>
      </c>
      <c r="Z151" s="105">
        <f>SUM(U149:U151)</f>
        <v>446.25</v>
      </c>
      <c r="AA151" s="100"/>
    </row>
    <row r="152" spans="2:27" ht="13.5">
      <c r="B152" s="116">
        <v>700</v>
      </c>
      <c r="C152" s="254"/>
      <c r="D152" s="254"/>
      <c r="E152" s="254"/>
      <c r="F152" s="254"/>
      <c r="G152" s="254"/>
      <c r="H152" s="254"/>
      <c r="I152" s="254"/>
      <c r="J152" s="254"/>
      <c r="K152" s="254"/>
      <c r="L152" s="254"/>
      <c r="M152" s="254"/>
      <c r="P152" s="501" t="s">
        <v>67</v>
      </c>
      <c r="Q152" s="475"/>
      <c r="R152" s="475"/>
      <c r="S152" s="475"/>
      <c r="T152" s="105">
        <f>T131</f>
        <v>2026.5</v>
      </c>
      <c r="U152" s="137">
        <f>U149*0.15</f>
        <v>38.25</v>
      </c>
      <c r="W152" s="99"/>
      <c r="X152" s="106" t="s">
        <v>41</v>
      </c>
      <c r="Y152" s="105">
        <f>SUM(T149:T152)</f>
        <v>25669</v>
      </c>
      <c r="Z152" s="105">
        <f>SUM(U149:U152)</f>
        <v>484.5</v>
      </c>
      <c r="AA152" s="100"/>
    </row>
    <row r="153" spans="2:35" ht="13.5">
      <c r="B153" s="116">
        <v>800</v>
      </c>
      <c r="C153" s="254"/>
      <c r="D153" s="254"/>
      <c r="E153" s="254"/>
      <c r="F153" s="254"/>
      <c r="G153" s="254"/>
      <c r="H153" s="254"/>
      <c r="I153" s="254"/>
      <c r="J153" s="254"/>
      <c r="K153" s="254"/>
      <c r="L153" s="254"/>
      <c r="M153" s="254"/>
      <c r="P153" s="501" t="s">
        <v>59</v>
      </c>
      <c r="Q153" s="475"/>
      <c r="R153" s="475"/>
      <c r="S153" s="107" t="str">
        <f>IF(U94&lt;5,"0",U94-4)</f>
        <v>0</v>
      </c>
      <c r="T153" s="105">
        <f>T132</f>
        <v>0</v>
      </c>
      <c r="U153" s="137">
        <f>U149*0.15*S153</f>
        <v>0</v>
      </c>
      <c r="W153" s="99"/>
      <c r="X153" s="106" t="str">
        <f>IF(KOD!U94&lt;5,"-",CONCATENATE(U94," Tip"))</f>
        <v>-</v>
      </c>
      <c r="Y153" s="105">
        <f>IF(U94&lt;5,0,(SUM(T149:T153)))</f>
        <v>0</v>
      </c>
      <c r="Z153" s="105">
        <f>IF(U94&lt;5,0,(SUM(U149:U153)))</f>
        <v>0</v>
      </c>
      <c r="AA153" s="100"/>
      <c r="AC153" s="53"/>
      <c r="AD153" s="53"/>
      <c r="AE153" s="54"/>
      <c r="AF153" s="54"/>
      <c r="AG153" s="54"/>
      <c r="AH153" s="54"/>
      <c r="AI153" s="54"/>
    </row>
    <row r="154" spans="2:27" ht="14.25" thickBot="1">
      <c r="B154" s="116">
        <v>900</v>
      </c>
      <c r="C154" s="254"/>
      <c r="D154" s="254"/>
      <c r="E154" s="254"/>
      <c r="F154" s="254"/>
      <c r="G154" s="254"/>
      <c r="H154" s="254"/>
      <c r="I154" s="254"/>
      <c r="J154" s="254"/>
      <c r="K154" s="254"/>
      <c r="L154" s="254"/>
      <c r="M154" s="254"/>
      <c r="P154" s="117"/>
      <c r="Q154" s="118"/>
      <c r="R154" s="118"/>
      <c r="S154" s="118"/>
      <c r="T154" s="118"/>
      <c r="U154" s="118"/>
      <c r="V154" s="118"/>
      <c r="W154" s="119"/>
      <c r="X154" s="120" t="s">
        <v>60</v>
      </c>
      <c r="Y154" s="121">
        <f>IF(U94=0,0,IF(U94=1,Y149,IF(U94=2,Y150,IF(U94=3,Y151,IF(U94=4,Y152,IF(U94&gt;4,Y153))))))</f>
        <v>0</v>
      </c>
      <c r="Z154" s="121">
        <f>IF(U94=0,0,IF(U94=1,Z149,IF(U94=2,Z150,IF(U94=3,Z151,IF(U94=4,Z152,IF(U94&gt;4,Z153))))))</f>
        <v>0</v>
      </c>
      <c r="AA154" s="122"/>
    </row>
    <row r="155" spans="2:27" ht="14.25" thickBot="1">
      <c r="B155" s="116">
        <v>1000</v>
      </c>
      <c r="C155" s="254"/>
      <c r="D155" s="254"/>
      <c r="E155" s="254"/>
      <c r="F155" s="254"/>
      <c r="G155" s="254"/>
      <c r="H155" s="254"/>
      <c r="I155" s="254"/>
      <c r="J155" s="254"/>
      <c r="K155" s="254"/>
      <c r="L155" s="254"/>
      <c r="M155" s="254"/>
      <c r="O155" s="56"/>
      <c r="P155" s="44"/>
      <c r="Q155" s="44"/>
      <c r="R155" s="44"/>
      <c r="S155" s="44"/>
      <c r="T155" s="44"/>
      <c r="U155" s="44"/>
      <c r="V155" s="44"/>
      <c r="W155" s="47"/>
      <c r="X155" s="47"/>
      <c r="Y155" s="47"/>
      <c r="AA155" s="47"/>
    </row>
    <row r="156" spans="2:27" ht="14.25" thickBot="1">
      <c r="B156" s="116">
        <v>1500</v>
      </c>
      <c r="C156" s="254"/>
      <c r="D156" s="254"/>
      <c r="E156" s="254"/>
      <c r="F156" s="254"/>
      <c r="G156" s="254"/>
      <c r="H156" s="254"/>
      <c r="I156" s="254"/>
      <c r="J156" s="254"/>
      <c r="K156" s="254"/>
      <c r="L156" s="254"/>
      <c r="M156" s="254"/>
      <c r="O156" s="56"/>
      <c r="P156" s="155" t="s">
        <v>115</v>
      </c>
      <c r="Q156" s="176"/>
      <c r="R156" s="176"/>
      <c r="S156" s="176"/>
      <c r="T156" s="176"/>
      <c r="U156" s="176"/>
      <c r="V156" s="176"/>
      <c r="W156" s="176"/>
      <c r="X156" s="176"/>
      <c r="Y156" s="176"/>
      <c r="Z156" s="176"/>
      <c r="AA156" s="46"/>
    </row>
    <row r="157" spans="2:27" ht="14.25" thickBot="1">
      <c r="B157" s="116">
        <v>2000</v>
      </c>
      <c r="C157" s="254"/>
      <c r="D157" s="254"/>
      <c r="E157" s="254"/>
      <c r="F157" s="254"/>
      <c r="G157" s="254"/>
      <c r="H157" s="254"/>
      <c r="I157" s="254"/>
      <c r="J157" s="254"/>
      <c r="K157" s="254"/>
      <c r="L157" s="254"/>
      <c r="M157" s="254"/>
      <c r="O157" s="56"/>
      <c r="P157" s="177" t="s">
        <v>114</v>
      </c>
      <c r="Q157" s="156" t="s">
        <v>101</v>
      </c>
      <c r="R157" s="178"/>
      <c r="S157" s="157" t="s">
        <v>93</v>
      </c>
      <c r="T157" s="178" t="s">
        <v>97</v>
      </c>
      <c r="U157" s="178" t="s">
        <v>94</v>
      </c>
      <c r="V157" s="179" t="s">
        <v>98</v>
      </c>
      <c r="W157" s="179" t="s">
        <v>99</v>
      </c>
      <c r="X157" s="179" t="s">
        <v>51</v>
      </c>
      <c r="Y157" s="180"/>
      <c r="Z157" s="181"/>
      <c r="AA157" s="51"/>
    </row>
    <row r="158" spans="2:27" ht="13.5">
      <c r="B158" s="116">
        <v>2500</v>
      </c>
      <c r="C158" s="254"/>
      <c r="D158" s="254"/>
      <c r="E158" s="254"/>
      <c r="F158" s="254"/>
      <c r="G158" s="254"/>
      <c r="H158" s="254"/>
      <c r="I158" s="254"/>
      <c r="J158" s="254"/>
      <c r="K158" s="254"/>
      <c r="L158" s="254"/>
      <c r="M158" s="254"/>
      <c r="O158" s="56"/>
      <c r="P158" s="158" t="s">
        <v>100</v>
      </c>
      <c r="Q158" s="159">
        <v>0</v>
      </c>
      <c r="R158" s="167">
        <f>IF(P168&gt;500,"",(Q159-X158))</f>
        <v>4664</v>
      </c>
      <c r="S158" s="159">
        <v>0</v>
      </c>
      <c r="T158" s="159">
        <f>S159-0</f>
        <v>500</v>
      </c>
      <c r="U158" s="159">
        <f>Q159-0</f>
        <v>5830</v>
      </c>
      <c r="V158" s="160">
        <f aca="true" t="shared" si="12" ref="V158:V166">U158/T158</f>
        <v>11.66</v>
      </c>
      <c r="W158" s="159">
        <f>S159-Y158</f>
        <v>100</v>
      </c>
      <c r="X158" s="159">
        <f aca="true" t="shared" si="13" ref="X158:X166">W158*V158</f>
        <v>1166</v>
      </c>
      <c r="Y158" s="161">
        <f>IF(AND(P168&lt;=500,P168&gt;0),P168,0)</f>
        <v>400</v>
      </c>
      <c r="Z158" s="181"/>
      <c r="AA158" s="51"/>
    </row>
    <row r="159" spans="2:27" ht="13.5">
      <c r="B159" s="116">
        <v>3000</v>
      </c>
      <c r="C159" s="254"/>
      <c r="D159" s="254"/>
      <c r="E159" s="254"/>
      <c r="F159" s="254"/>
      <c r="G159" s="254"/>
      <c r="H159" s="254"/>
      <c r="I159" s="254"/>
      <c r="J159" s="254"/>
      <c r="K159" s="254"/>
      <c r="L159" s="254"/>
      <c r="M159" s="254"/>
      <c r="O159" s="392"/>
      <c r="P159" s="162" t="str">
        <f aca="true" t="shared" si="14" ref="P159:P166">CONCATENATE(S159,"-",S160," m2 Arası")</f>
        <v>500-1000 m2 Arası</v>
      </c>
      <c r="Q159" s="159">
        <f>KOD!M26</f>
        <v>5830</v>
      </c>
      <c r="R159" s="167">
        <f aca="true" t="shared" si="15" ref="R159:R166">IF(X159&lt;0,"",(Q159+X159))</f>
      </c>
      <c r="S159" s="159">
        <v>500</v>
      </c>
      <c r="T159" s="159">
        <f aca="true" t="shared" si="16" ref="T159:T166">S160-S159</f>
        <v>500</v>
      </c>
      <c r="U159" s="159">
        <f aca="true" t="shared" si="17" ref="U159:U166">Q160-Q159</f>
        <v>2820</v>
      </c>
      <c r="V159" s="160">
        <f t="shared" si="12"/>
        <v>5.64</v>
      </c>
      <c r="W159" s="159">
        <f aca="true" t="shared" si="18" ref="W159:W166">Y159-S159</f>
        <v>-500</v>
      </c>
      <c r="X159" s="159">
        <f t="shared" si="13"/>
        <v>-2820</v>
      </c>
      <c r="Y159" s="161">
        <f>IF(AND(P168&lt;=1000,P168&gt;500),P168,0)</f>
        <v>0</v>
      </c>
      <c r="Z159" s="181"/>
      <c r="AA159" s="51"/>
    </row>
    <row r="160" spans="2:27" ht="13.5">
      <c r="B160" s="116">
        <v>3500</v>
      </c>
      <c r="C160" s="254"/>
      <c r="D160" s="254"/>
      <c r="E160" s="254"/>
      <c r="F160" s="254"/>
      <c r="G160" s="254"/>
      <c r="H160" s="254"/>
      <c r="I160" s="254"/>
      <c r="J160" s="254"/>
      <c r="K160" s="254"/>
      <c r="L160" s="254"/>
      <c r="M160" s="254"/>
      <c r="O160" s="56"/>
      <c r="P160" s="162" t="str">
        <f t="shared" si="14"/>
        <v>1000-2000 m2 Arası</v>
      </c>
      <c r="Q160" s="159">
        <f>KOD!M27</f>
        <v>8650</v>
      </c>
      <c r="R160" s="167">
        <f t="shared" si="15"/>
      </c>
      <c r="S160" s="159">
        <v>1000</v>
      </c>
      <c r="T160" s="159">
        <f t="shared" si="16"/>
        <v>1000</v>
      </c>
      <c r="U160" s="159">
        <f t="shared" si="17"/>
        <v>6520</v>
      </c>
      <c r="V160" s="160">
        <f t="shared" si="12"/>
        <v>6.52</v>
      </c>
      <c r="W160" s="159">
        <f t="shared" si="18"/>
        <v>-1000</v>
      </c>
      <c r="X160" s="159">
        <f t="shared" si="13"/>
        <v>-6520</v>
      </c>
      <c r="Y160" s="161">
        <f>IF(AND(P168&lt;=2000,P168&gt;1000),P168,0)</f>
        <v>0</v>
      </c>
      <c r="Z160" s="181"/>
      <c r="AA160" s="51"/>
    </row>
    <row r="161" spans="2:27" ht="13.5">
      <c r="B161" s="116">
        <v>4000</v>
      </c>
      <c r="C161" s="254"/>
      <c r="D161" s="254"/>
      <c r="E161" s="254"/>
      <c r="F161" s="254"/>
      <c r="G161" s="254"/>
      <c r="H161" s="254"/>
      <c r="I161" s="254"/>
      <c r="J161" s="254"/>
      <c r="K161" s="254"/>
      <c r="L161" s="254"/>
      <c r="M161" s="254"/>
      <c r="O161" s="56"/>
      <c r="P161" s="162" t="str">
        <f t="shared" si="14"/>
        <v>2000-3000 m2 Arası</v>
      </c>
      <c r="Q161" s="159">
        <f>KOD!M28</f>
        <v>15170</v>
      </c>
      <c r="R161" s="167">
        <f t="shared" si="15"/>
      </c>
      <c r="S161" s="159">
        <v>2000</v>
      </c>
      <c r="T161" s="159">
        <f t="shared" si="16"/>
        <v>1000</v>
      </c>
      <c r="U161" s="159">
        <f t="shared" si="17"/>
        <v>3530</v>
      </c>
      <c r="V161" s="160">
        <f t="shared" si="12"/>
        <v>3.53</v>
      </c>
      <c r="W161" s="159">
        <f t="shared" si="18"/>
        <v>-2000</v>
      </c>
      <c r="X161" s="159">
        <f t="shared" si="13"/>
        <v>-7060</v>
      </c>
      <c r="Y161" s="161">
        <f>IF(AND(P168&lt;=3000,P168&gt;2000),P168,0)</f>
        <v>0</v>
      </c>
      <c r="Z161" s="181"/>
      <c r="AA161" s="51"/>
    </row>
    <row r="162" spans="2:27" ht="13.5">
      <c r="B162" s="116">
        <v>4500</v>
      </c>
      <c r="C162" s="254"/>
      <c r="D162" s="254"/>
      <c r="E162" s="254"/>
      <c r="F162" s="254"/>
      <c r="G162" s="254"/>
      <c r="H162" s="254"/>
      <c r="I162" s="254"/>
      <c r="J162" s="254"/>
      <c r="K162" s="254"/>
      <c r="L162" s="254"/>
      <c r="M162" s="254"/>
      <c r="O162" s="56"/>
      <c r="P162" s="162" t="str">
        <f t="shared" si="14"/>
        <v>3000-5000 m2 Arası</v>
      </c>
      <c r="Q162" s="159">
        <f>KOD!M29</f>
        <v>18700</v>
      </c>
      <c r="R162" s="167">
        <f t="shared" si="15"/>
      </c>
      <c r="S162" s="159">
        <v>3000</v>
      </c>
      <c r="T162" s="159">
        <f t="shared" si="16"/>
        <v>2000</v>
      </c>
      <c r="U162" s="159">
        <f t="shared" si="17"/>
        <v>9880</v>
      </c>
      <c r="V162" s="160">
        <f t="shared" si="12"/>
        <v>4.94</v>
      </c>
      <c r="W162" s="159">
        <f t="shared" si="18"/>
        <v>-3000</v>
      </c>
      <c r="X162" s="159">
        <f t="shared" si="13"/>
        <v>-14820.000000000002</v>
      </c>
      <c r="Y162" s="161">
        <f>IF(AND(P168&lt;=5000,P168&gt;3000),P168,0)</f>
        <v>0</v>
      </c>
      <c r="Z162" s="181"/>
      <c r="AA162" s="51"/>
    </row>
    <row r="163" spans="2:27" ht="13.5">
      <c r="B163" s="116">
        <v>5000</v>
      </c>
      <c r="C163" s="254"/>
      <c r="D163" s="254"/>
      <c r="E163" s="254"/>
      <c r="F163" s="254"/>
      <c r="G163" s="254"/>
      <c r="H163" s="254"/>
      <c r="I163" s="254"/>
      <c r="J163" s="254"/>
      <c r="K163" s="254"/>
      <c r="L163" s="254"/>
      <c r="M163" s="254"/>
      <c r="O163" s="56"/>
      <c r="P163" s="162" t="str">
        <f t="shared" si="14"/>
        <v>5000-10000 m2 Arası</v>
      </c>
      <c r="Q163" s="159">
        <f>KOD!M30</f>
        <v>28580</v>
      </c>
      <c r="R163" s="167">
        <f t="shared" si="15"/>
      </c>
      <c r="S163" s="159">
        <v>5000</v>
      </c>
      <c r="T163" s="159">
        <f t="shared" si="16"/>
        <v>5000</v>
      </c>
      <c r="U163" s="159">
        <f t="shared" si="17"/>
        <v>10780</v>
      </c>
      <c r="V163" s="160">
        <f t="shared" si="12"/>
        <v>2.156</v>
      </c>
      <c r="W163" s="159">
        <f t="shared" si="18"/>
        <v>-5000</v>
      </c>
      <c r="X163" s="159">
        <f t="shared" si="13"/>
        <v>-10780</v>
      </c>
      <c r="Y163" s="161">
        <f>IF(AND(P168&lt;=10000,P168&gt;5000),P168,0)</f>
        <v>0</v>
      </c>
      <c r="Z163" s="181"/>
      <c r="AA163" s="51"/>
    </row>
    <row r="164" spans="2:27" ht="13.5">
      <c r="B164" s="116">
        <v>6000</v>
      </c>
      <c r="C164" s="254"/>
      <c r="D164" s="254"/>
      <c r="E164" s="254"/>
      <c r="F164" s="254"/>
      <c r="G164" s="254"/>
      <c r="H164" s="254"/>
      <c r="I164" s="254"/>
      <c r="J164" s="254"/>
      <c r="K164" s="254"/>
      <c r="L164" s="254"/>
      <c r="M164" s="254"/>
      <c r="O164" s="56"/>
      <c r="P164" s="162" t="str">
        <f t="shared" si="14"/>
        <v>10000-20000 m2 Arası</v>
      </c>
      <c r="Q164" s="159">
        <f>KOD!M31</f>
        <v>39360</v>
      </c>
      <c r="R164" s="167">
        <f t="shared" si="15"/>
      </c>
      <c r="S164" s="159">
        <v>10000</v>
      </c>
      <c r="T164" s="159">
        <f t="shared" si="16"/>
        <v>10000</v>
      </c>
      <c r="U164" s="159">
        <f t="shared" si="17"/>
        <v>12510</v>
      </c>
      <c r="V164" s="160">
        <f t="shared" si="12"/>
        <v>1.251</v>
      </c>
      <c r="W164" s="159">
        <f t="shared" si="18"/>
        <v>-10000</v>
      </c>
      <c r="X164" s="159">
        <f t="shared" si="13"/>
        <v>-12509.999999999998</v>
      </c>
      <c r="Y164" s="161">
        <f>IF(AND(P168&lt;=20000,P168&gt;10000),P168,0)</f>
        <v>0</v>
      </c>
      <c r="Z164" s="181"/>
      <c r="AA164" s="51"/>
    </row>
    <row r="165" spans="2:27" ht="13.5">
      <c r="B165" s="116">
        <v>7000</v>
      </c>
      <c r="C165" s="254"/>
      <c r="D165" s="254"/>
      <c r="E165" s="254"/>
      <c r="F165" s="254"/>
      <c r="G165" s="254"/>
      <c r="H165" s="254"/>
      <c r="I165" s="254"/>
      <c r="J165" s="254"/>
      <c r="K165" s="254"/>
      <c r="L165" s="254"/>
      <c r="M165" s="254"/>
      <c r="O165" s="56"/>
      <c r="P165" s="162" t="str">
        <f t="shared" si="14"/>
        <v>20000-50000 m2 Arası</v>
      </c>
      <c r="Q165" s="159">
        <f>KOD!M32</f>
        <v>51870</v>
      </c>
      <c r="R165" s="167">
        <f t="shared" si="15"/>
      </c>
      <c r="S165" s="159">
        <v>20000</v>
      </c>
      <c r="T165" s="159">
        <f t="shared" si="16"/>
        <v>30000</v>
      </c>
      <c r="U165" s="159">
        <f t="shared" si="17"/>
        <v>48440</v>
      </c>
      <c r="V165" s="160">
        <f t="shared" si="12"/>
        <v>1.6146666666666667</v>
      </c>
      <c r="W165" s="159">
        <f t="shared" si="18"/>
        <v>-20000</v>
      </c>
      <c r="X165" s="159">
        <f t="shared" si="13"/>
        <v>-32293.333333333332</v>
      </c>
      <c r="Y165" s="161">
        <f>IF(AND(P168&lt;=50000,P168&gt;20000),P168,0)</f>
        <v>0</v>
      </c>
      <c r="Z165" s="181"/>
      <c r="AA165" s="51"/>
    </row>
    <row r="166" spans="2:27" ht="13.5">
      <c r="B166" s="116">
        <v>8000</v>
      </c>
      <c r="C166" s="254"/>
      <c r="D166" s="254"/>
      <c r="E166" s="254"/>
      <c r="F166" s="254"/>
      <c r="G166" s="254"/>
      <c r="H166" s="254"/>
      <c r="I166" s="254"/>
      <c r="J166" s="254"/>
      <c r="K166" s="254"/>
      <c r="L166" s="254"/>
      <c r="M166" s="254"/>
      <c r="O166" s="56"/>
      <c r="P166" s="162" t="str">
        <f t="shared" si="14"/>
        <v>50000-100000 m2 Arası</v>
      </c>
      <c r="Q166" s="159">
        <f>KOD!M33</f>
        <v>100310</v>
      </c>
      <c r="R166" s="167">
        <f t="shared" si="15"/>
      </c>
      <c r="S166" s="159">
        <v>50000</v>
      </c>
      <c r="T166" s="159">
        <f t="shared" si="16"/>
        <v>50000</v>
      </c>
      <c r="U166" s="159">
        <f t="shared" si="17"/>
        <v>57780</v>
      </c>
      <c r="V166" s="160">
        <f t="shared" si="12"/>
        <v>1.1556</v>
      </c>
      <c r="W166" s="159">
        <f t="shared" si="18"/>
        <v>-50000</v>
      </c>
      <c r="X166" s="159">
        <f t="shared" si="13"/>
        <v>-57780</v>
      </c>
      <c r="Y166" s="161">
        <f>IF(AND(P168&lt;=100000,P168&gt;50000),P168,0)</f>
        <v>0</v>
      </c>
      <c r="Z166" s="181"/>
      <c r="AA166" s="51"/>
    </row>
    <row r="167" spans="2:27" ht="14.25" thickBot="1">
      <c r="B167" s="116">
        <v>9000</v>
      </c>
      <c r="C167" s="254"/>
      <c r="D167" s="254"/>
      <c r="E167" s="254"/>
      <c r="F167" s="254"/>
      <c r="G167" s="254"/>
      <c r="H167" s="254"/>
      <c r="I167" s="254"/>
      <c r="J167" s="254"/>
      <c r="K167" s="254"/>
      <c r="L167" s="254"/>
      <c r="M167" s="254"/>
      <c r="O167" s="56"/>
      <c r="P167" s="163" t="s">
        <v>95</v>
      </c>
      <c r="Q167" s="164">
        <f>KOD!M34</f>
        <v>158090</v>
      </c>
      <c r="R167" s="164">
        <f>IF(Y167&lt;100000,"",((Y167/S167)*Q167))</f>
      </c>
      <c r="S167" s="164">
        <v>100000</v>
      </c>
      <c r="T167" s="159"/>
      <c r="U167" s="159"/>
      <c r="V167" s="160"/>
      <c r="W167" s="159"/>
      <c r="X167" s="159"/>
      <c r="Y167" s="161">
        <f>IF(AND(P168&lt;=1000000,P168&gt;100000),P168,0)</f>
        <v>0</v>
      </c>
      <c r="Z167" s="181"/>
      <c r="AA167" s="51"/>
    </row>
    <row r="168" spans="2:27" ht="14.25" thickBot="1">
      <c r="B168" s="116">
        <v>10000</v>
      </c>
      <c r="C168" s="254"/>
      <c r="D168" s="254"/>
      <c r="E168" s="254"/>
      <c r="F168" s="254"/>
      <c r="G168" s="254"/>
      <c r="H168" s="254"/>
      <c r="I168" s="254"/>
      <c r="J168" s="254"/>
      <c r="K168" s="254"/>
      <c r="L168" s="254"/>
      <c r="M168" s="254"/>
      <c r="O168" s="56"/>
      <c r="P168" s="175">
        <f>HESAP!C33</f>
        <v>400</v>
      </c>
      <c r="Q168" s="182">
        <f>S168+R168</f>
        <v>4664</v>
      </c>
      <c r="R168" s="165">
        <f>IF(AND(P168&lt;=500,P168&gt;0),R158,IF(AND(P168&lt;=1000,P168&gt;500),R159,IF(AND(P168&lt;=2000,P168&gt;1000),R160,IF(AND(P168&lt;=3000,P168&gt;2000),R161,IF(AND(P168&lt;=5000,P168&gt;3000),R162,0)))))</f>
        <v>4664</v>
      </c>
      <c r="S168" s="166">
        <f>IF(AND(P168&lt;=10000,P168&gt;5000),R163,IF(AND(P168&lt;=20000,P168&gt;10000),R164,IF(AND(P168&lt;=50000,P168&gt;20000),R165,IF(AND(P168&lt;=100000,P168&gt;50000),R166,IF(P168&gt;100000,R167,0)))))</f>
        <v>0</v>
      </c>
      <c r="T168" s="183"/>
      <c r="U168" s="183"/>
      <c r="V168" s="183"/>
      <c r="W168" s="183"/>
      <c r="X168" s="183"/>
      <c r="Y168" s="184"/>
      <c r="Z168" s="181"/>
      <c r="AA168" s="51"/>
    </row>
    <row r="169" spans="2:27" ht="14.25" thickBot="1">
      <c r="B169" s="116">
        <v>12500</v>
      </c>
      <c r="C169" s="254"/>
      <c r="D169" s="254"/>
      <c r="E169" s="254"/>
      <c r="F169" s="254"/>
      <c r="G169" s="254"/>
      <c r="H169" s="254"/>
      <c r="I169" s="254"/>
      <c r="J169" s="254"/>
      <c r="K169" s="254"/>
      <c r="L169" s="254"/>
      <c r="M169" s="254"/>
      <c r="O169" s="56"/>
      <c r="P169" s="185"/>
      <c r="Q169" s="181"/>
      <c r="S169" s="181"/>
      <c r="T169" s="181"/>
      <c r="U169" s="181"/>
      <c r="V169" s="181"/>
      <c r="W169" s="181"/>
      <c r="X169" s="181"/>
      <c r="Y169" s="181"/>
      <c r="Z169" s="181"/>
      <c r="AA169" s="51"/>
    </row>
    <row r="170" spans="2:27" ht="14.25" thickBot="1">
      <c r="B170" s="116">
        <v>15000</v>
      </c>
      <c r="C170" s="254"/>
      <c r="D170" s="254"/>
      <c r="E170" s="254"/>
      <c r="F170" s="254"/>
      <c r="G170" s="254"/>
      <c r="H170" s="254"/>
      <c r="I170" s="254"/>
      <c r="J170" s="254"/>
      <c r="K170" s="254"/>
      <c r="L170" s="254"/>
      <c r="M170" s="254"/>
      <c r="O170" s="56"/>
      <c r="P170" s="155" t="s">
        <v>115</v>
      </c>
      <c r="Q170" s="181"/>
      <c r="R170" s="181"/>
      <c r="S170" s="181"/>
      <c r="T170" s="181"/>
      <c r="U170" s="181"/>
      <c r="V170" s="181"/>
      <c r="W170" s="181"/>
      <c r="X170" s="181"/>
      <c r="Y170" s="181"/>
      <c r="Z170" s="181"/>
      <c r="AA170" s="51"/>
    </row>
    <row r="171" spans="2:27" ht="14.25" thickBot="1">
      <c r="B171" s="116">
        <v>17500</v>
      </c>
      <c r="C171" s="254"/>
      <c r="D171" s="254"/>
      <c r="E171" s="254"/>
      <c r="F171" s="254"/>
      <c r="G171" s="254"/>
      <c r="H171" s="254"/>
      <c r="I171" s="254"/>
      <c r="J171" s="254"/>
      <c r="K171" s="254"/>
      <c r="L171" s="254"/>
      <c r="M171" s="254"/>
      <c r="O171" s="56"/>
      <c r="P171" s="177" t="s">
        <v>113</v>
      </c>
      <c r="Q171" s="174" t="s">
        <v>101</v>
      </c>
      <c r="R171" s="181"/>
      <c r="S171" s="181"/>
      <c r="T171" s="181"/>
      <c r="U171" s="181"/>
      <c r="V171" s="181"/>
      <c r="W171" s="181"/>
      <c r="X171" s="181"/>
      <c r="Y171" s="181"/>
      <c r="Z171" s="181"/>
      <c r="AA171" s="51"/>
    </row>
    <row r="172" spans="2:27" ht="13.5">
      <c r="B172" s="116">
        <v>20000</v>
      </c>
      <c r="C172" s="254"/>
      <c r="D172" s="254"/>
      <c r="E172" s="254"/>
      <c r="F172" s="254"/>
      <c r="G172" s="254"/>
      <c r="H172" s="254"/>
      <c r="I172" s="254"/>
      <c r="J172" s="254"/>
      <c r="K172" s="254"/>
      <c r="L172" s="254"/>
      <c r="M172" s="254"/>
      <c r="O172" s="56"/>
      <c r="P172" s="158" t="s">
        <v>108</v>
      </c>
      <c r="Q172" s="173">
        <f>KOD!M54</f>
        <v>150</v>
      </c>
      <c r="R172" s="181"/>
      <c r="S172" s="181"/>
      <c r="T172" s="181"/>
      <c r="U172" s="181"/>
      <c r="V172" s="181"/>
      <c r="W172" s="181"/>
      <c r="X172" s="181"/>
      <c r="Y172" s="181"/>
      <c r="Z172" s="181"/>
      <c r="AA172" s="51"/>
    </row>
    <row r="173" spans="2:33" ht="13.5">
      <c r="B173" s="116">
        <v>22500</v>
      </c>
      <c r="C173" s="254"/>
      <c r="D173" s="254"/>
      <c r="E173" s="254"/>
      <c r="F173" s="254"/>
      <c r="G173" s="254"/>
      <c r="H173" s="254"/>
      <c r="I173" s="254"/>
      <c r="J173" s="254"/>
      <c r="K173" s="254"/>
      <c r="L173" s="254"/>
      <c r="M173" s="254"/>
      <c r="O173" s="53"/>
      <c r="P173" s="162" t="s">
        <v>107</v>
      </c>
      <c r="Q173" s="171">
        <f>KOD!M55</f>
        <v>310</v>
      </c>
      <c r="R173" s="181"/>
      <c r="S173" s="181"/>
      <c r="T173" s="181"/>
      <c r="U173" s="181"/>
      <c r="V173" s="181"/>
      <c r="W173" s="181"/>
      <c r="X173" s="181"/>
      <c r="Y173" s="181"/>
      <c r="Z173" s="181"/>
      <c r="AA173" s="51"/>
      <c r="AB173" s="52"/>
      <c r="AC173" s="53"/>
      <c r="AD173" s="53"/>
      <c r="AE173" s="54"/>
      <c r="AF173" s="54"/>
      <c r="AG173" s="54"/>
    </row>
    <row r="174" spans="2:28" ht="13.5">
      <c r="B174" s="116">
        <v>25000</v>
      </c>
      <c r="C174" s="254"/>
      <c r="D174" s="254"/>
      <c r="E174" s="254"/>
      <c r="F174" s="254"/>
      <c r="G174" s="254"/>
      <c r="H174" s="254"/>
      <c r="I174" s="254"/>
      <c r="J174" s="254"/>
      <c r="K174" s="254"/>
      <c r="L174" s="254"/>
      <c r="M174" s="254"/>
      <c r="O174" s="56"/>
      <c r="P174" s="162" t="s">
        <v>106</v>
      </c>
      <c r="Q174" s="171">
        <f>KOD!M56</f>
        <v>810</v>
      </c>
      <c r="R174" s="181"/>
      <c r="S174" s="181"/>
      <c r="T174" s="181"/>
      <c r="U174" s="181"/>
      <c r="V174" s="181"/>
      <c r="W174" s="181"/>
      <c r="X174" s="181"/>
      <c r="Y174" s="181"/>
      <c r="Z174" s="181"/>
      <c r="AA174" s="51"/>
      <c r="AB174" s="75"/>
    </row>
    <row r="175" spans="2:27" ht="13.5">
      <c r="B175" s="116">
        <v>27500</v>
      </c>
      <c r="C175" s="254"/>
      <c r="D175" s="254"/>
      <c r="E175" s="254"/>
      <c r="F175" s="254"/>
      <c r="G175" s="254"/>
      <c r="H175" s="254"/>
      <c r="I175" s="254"/>
      <c r="J175" s="254"/>
      <c r="K175" s="254"/>
      <c r="L175" s="254"/>
      <c r="M175" s="254"/>
      <c r="O175" s="56"/>
      <c r="P175" s="162" t="s">
        <v>105</v>
      </c>
      <c r="Q175" s="171">
        <f>KOD!M57</f>
        <v>1180</v>
      </c>
      <c r="R175" s="181"/>
      <c r="S175" s="181"/>
      <c r="T175" s="181"/>
      <c r="U175" s="181"/>
      <c r="V175" s="181"/>
      <c r="W175" s="181"/>
      <c r="X175" s="181"/>
      <c r="Y175" s="181"/>
      <c r="Z175" s="181"/>
      <c r="AA175" s="51"/>
    </row>
    <row r="176" spans="2:27" ht="13.5">
      <c r="B176" s="116">
        <v>30000</v>
      </c>
      <c r="C176" s="254"/>
      <c r="D176" s="254"/>
      <c r="E176" s="254"/>
      <c r="F176" s="254"/>
      <c r="G176" s="254"/>
      <c r="H176" s="254"/>
      <c r="I176" s="254"/>
      <c r="J176" s="254"/>
      <c r="K176" s="254"/>
      <c r="L176" s="254"/>
      <c r="M176" s="254"/>
      <c r="O176" s="56"/>
      <c r="P176" s="162" t="s">
        <v>104</v>
      </c>
      <c r="Q176" s="171">
        <f>KOD!M58</f>
        <v>1570</v>
      </c>
      <c r="R176" s="181"/>
      <c r="S176" s="181"/>
      <c r="T176" s="181"/>
      <c r="U176" s="181"/>
      <c r="V176" s="181"/>
      <c r="W176" s="181"/>
      <c r="X176" s="181"/>
      <c r="Y176" s="181"/>
      <c r="Z176" s="181"/>
      <c r="AA176" s="51"/>
    </row>
    <row r="177" spans="2:27" ht="14.25" thickBot="1">
      <c r="B177" s="116">
        <v>32500</v>
      </c>
      <c r="C177" s="254"/>
      <c r="D177" s="254"/>
      <c r="E177" s="254"/>
      <c r="F177" s="254"/>
      <c r="G177" s="254"/>
      <c r="H177" s="254"/>
      <c r="I177" s="254"/>
      <c r="J177" s="254"/>
      <c r="K177" s="254"/>
      <c r="L177" s="254"/>
      <c r="M177" s="254"/>
      <c r="O177" s="56"/>
      <c r="P177" s="163" t="s">
        <v>109</v>
      </c>
      <c r="Q177" s="172">
        <f>(P178/100000)*Q176</f>
        <v>6.28</v>
      </c>
      <c r="R177" s="181"/>
      <c r="S177" s="181"/>
      <c r="T177" s="181"/>
      <c r="U177" s="181"/>
      <c r="V177" s="181"/>
      <c r="W177" s="181"/>
      <c r="X177" s="181"/>
      <c r="Y177" s="181"/>
      <c r="Z177" s="181"/>
      <c r="AA177" s="51"/>
    </row>
    <row r="178" spans="2:27" ht="14.25" thickBot="1">
      <c r="B178" s="116">
        <v>35000</v>
      </c>
      <c r="C178" s="254"/>
      <c r="D178" s="254"/>
      <c r="E178" s="254"/>
      <c r="F178" s="254"/>
      <c r="G178" s="254"/>
      <c r="H178" s="254"/>
      <c r="I178" s="254"/>
      <c r="J178" s="254"/>
      <c r="K178" s="254"/>
      <c r="L178" s="254"/>
      <c r="M178" s="254"/>
      <c r="O178" s="56"/>
      <c r="P178" s="175">
        <f>HESAP!C33</f>
        <v>400</v>
      </c>
      <c r="Q178" s="186">
        <f>IF(AND(P178&gt;=0,P178&lt;2000),Q172,IF(AND(P178&gt;=2000,P178&lt;5000),Q173,IF(AND(P178&gt;=5000,P178&lt;20000),Q174,IF(AND(P178&gt;=20000,P178&lt;50000),Q175,IF(AND(P178&gt;=50000,P178&lt;100000),Q176,IF(P178&gt;=100000,Q177,0))))))</f>
        <v>150</v>
      </c>
      <c r="R178" s="183"/>
      <c r="S178" s="183"/>
      <c r="T178" s="183"/>
      <c r="U178" s="183"/>
      <c r="V178" s="183"/>
      <c r="W178" s="183"/>
      <c r="X178" s="183"/>
      <c r="Y178" s="183"/>
      <c r="Z178" s="183"/>
      <c r="AA178" s="74"/>
    </row>
    <row r="179" spans="2:27" ht="14.25" thickBot="1">
      <c r="B179" s="116">
        <v>37500</v>
      </c>
      <c r="C179" s="254"/>
      <c r="D179" s="254"/>
      <c r="E179" s="254"/>
      <c r="F179" s="254"/>
      <c r="G179" s="254"/>
      <c r="H179" s="254"/>
      <c r="I179" s="254"/>
      <c r="J179" s="254"/>
      <c r="K179" s="254"/>
      <c r="L179" s="254"/>
      <c r="M179" s="254"/>
      <c r="O179" s="56"/>
      <c r="P179" s="44"/>
      <c r="Q179" s="44"/>
      <c r="R179" s="44"/>
      <c r="S179" s="44"/>
      <c r="T179" s="44"/>
      <c r="U179" s="44"/>
      <c r="V179" s="44"/>
      <c r="W179" s="44"/>
      <c r="X179" s="44"/>
      <c r="Y179" s="44"/>
      <c r="Z179" s="44"/>
      <c r="AA179" s="44"/>
    </row>
    <row r="180" spans="2:27" ht="13.5">
      <c r="B180" s="116">
        <v>40000</v>
      </c>
      <c r="C180" s="254"/>
      <c r="D180" s="254"/>
      <c r="E180" s="254"/>
      <c r="F180" s="254"/>
      <c r="G180" s="254"/>
      <c r="H180" s="254"/>
      <c r="I180" s="254"/>
      <c r="J180" s="254"/>
      <c r="K180" s="254"/>
      <c r="L180" s="254"/>
      <c r="M180" s="254"/>
      <c r="O180" s="56"/>
      <c r="P180" s="495" t="s">
        <v>138</v>
      </c>
      <c r="Q180" s="496"/>
      <c r="R180" s="496"/>
      <c r="S180" s="496"/>
      <c r="T180" s="496"/>
      <c r="U180" s="496"/>
      <c r="V180" s="496"/>
      <c r="W180" s="496"/>
      <c r="X180" s="496"/>
      <c r="Y180" s="496"/>
      <c r="Z180" s="496"/>
      <c r="AA180" s="497"/>
    </row>
    <row r="181" spans="2:27" ht="14.25" thickBot="1">
      <c r="B181" s="116">
        <v>42500</v>
      </c>
      <c r="C181" s="254"/>
      <c r="D181" s="254"/>
      <c r="E181" s="254"/>
      <c r="F181" s="254"/>
      <c r="G181" s="254"/>
      <c r="H181" s="254"/>
      <c r="I181" s="254"/>
      <c r="J181" s="254"/>
      <c r="K181" s="254"/>
      <c r="L181" s="254"/>
      <c r="M181" s="254"/>
      <c r="O181" s="56"/>
      <c r="P181" s="513"/>
      <c r="Q181" s="514"/>
      <c r="R181" s="514"/>
      <c r="S181" s="514"/>
      <c r="T181" s="514"/>
      <c r="U181" s="514"/>
      <c r="V181" s="514"/>
      <c r="W181" s="514"/>
      <c r="X181" s="514"/>
      <c r="Y181" s="514"/>
      <c r="Z181" s="514"/>
      <c r="AA181" s="515"/>
    </row>
    <row r="182" spans="2:27" ht="13.5">
      <c r="B182" s="116">
        <v>45000</v>
      </c>
      <c r="C182" s="254"/>
      <c r="D182" s="254"/>
      <c r="E182" s="254"/>
      <c r="F182" s="254"/>
      <c r="G182" s="254"/>
      <c r="H182" s="254"/>
      <c r="I182" s="254"/>
      <c r="J182" s="254"/>
      <c r="K182" s="254"/>
      <c r="L182" s="254"/>
      <c r="M182" s="254"/>
      <c r="O182" s="56"/>
      <c r="P182" s="572" t="s">
        <v>139</v>
      </c>
      <c r="Q182" s="573"/>
      <c r="R182" s="573"/>
      <c r="S182" s="573"/>
      <c r="T182" s="573"/>
      <c r="U182" s="573"/>
      <c r="V182" s="221">
        <f>KOD!M80</f>
        <v>0</v>
      </c>
      <c r="W182" s="218"/>
      <c r="X182" s="218"/>
      <c r="Y182" s="218"/>
      <c r="Z182" s="219"/>
      <c r="AA182" s="220"/>
    </row>
    <row r="183" spans="2:27" ht="13.5">
      <c r="B183" s="116">
        <v>47500</v>
      </c>
      <c r="C183" s="254"/>
      <c r="D183" s="254"/>
      <c r="E183" s="254"/>
      <c r="F183" s="254"/>
      <c r="G183" s="254"/>
      <c r="H183" s="254"/>
      <c r="I183" s="254"/>
      <c r="J183" s="254"/>
      <c r="K183" s="254"/>
      <c r="L183" s="254"/>
      <c r="M183" s="254"/>
      <c r="O183" s="56"/>
      <c r="P183" s="570" t="s">
        <v>91</v>
      </c>
      <c r="Q183" s="571"/>
      <c r="R183" s="571"/>
      <c r="S183" s="571"/>
      <c r="T183" s="571"/>
      <c r="U183" s="571"/>
      <c r="V183" s="213" t="s">
        <v>92</v>
      </c>
      <c r="W183" s="99"/>
      <c r="X183" s="99"/>
      <c r="Y183" s="144"/>
      <c r="Z183" s="144"/>
      <c r="AA183" s="100"/>
    </row>
    <row r="184" spans="2:27" ht="13.5">
      <c r="B184" s="116">
        <v>50000</v>
      </c>
      <c r="C184" s="254"/>
      <c r="D184" s="254"/>
      <c r="E184" s="254"/>
      <c r="F184" s="254"/>
      <c r="G184" s="254"/>
      <c r="H184" s="254"/>
      <c r="I184" s="254"/>
      <c r="J184" s="254"/>
      <c r="K184" s="254"/>
      <c r="L184" s="254"/>
      <c r="M184" s="254"/>
      <c r="O184" s="56"/>
      <c r="P184" s="501" t="s">
        <v>85</v>
      </c>
      <c r="Q184" s="475"/>
      <c r="R184" s="475"/>
      <c r="S184" s="475"/>
      <c r="T184" s="475"/>
      <c r="U184" s="475"/>
      <c r="V184" s="212">
        <f>V190*V191*V182+(2*V182)+0+(V192/1000)</f>
        <v>60</v>
      </c>
      <c r="W184" s="47"/>
      <c r="X184" s="47"/>
      <c r="Y184" s="47"/>
      <c r="Z184" s="47"/>
      <c r="AA184" s="51"/>
    </row>
    <row r="185" spans="2:27" ht="13.5">
      <c r="B185" s="116">
        <v>55000</v>
      </c>
      <c r="C185" s="254"/>
      <c r="D185" s="254"/>
      <c r="E185" s="254"/>
      <c r="F185" s="254"/>
      <c r="G185" s="254"/>
      <c r="H185" s="254"/>
      <c r="I185" s="254"/>
      <c r="J185" s="254"/>
      <c r="K185" s="254"/>
      <c r="L185" s="254"/>
      <c r="M185" s="254"/>
      <c r="O185" s="56"/>
      <c r="P185" s="501" t="s">
        <v>89</v>
      </c>
      <c r="Q185" s="475"/>
      <c r="R185" s="475"/>
      <c r="S185" s="475"/>
      <c r="T185" s="475"/>
      <c r="U185" s="475"/>
      <c r="V185" s="212">
        <f>V190*V191*V182+(3*V182)+1+((V192-10000)/2000)</f>
        <v>26</v>
      </c>
      <c r="W185" s="47"/>
      <c r="X185" s="47"/>
      <c r="Y185" s="47"/>
      <c r="Z185" s="47"/>
      <c r="AA185" s="51"/>
    </row>
    <row r="186" spans="2:27" ht="13.5">
      <c r="B186" s="116">
        <v>60000</v>
      </c>
      <c r="C186" s="254"/>
      <c r="D186" s="254"/>
      <c r="E186" s="254"/>
      <c r="F186" s="254"/>
      <c r="G186" s="254"/>
      <c r="H186" s="254"/>
      <c r="I186" s="254"/>
      <c r="J186" s="254"/>
      <c r="K186" s="254"/>
      <c r="L186" s="254"/>
      <c r="M186" s="254"/>
      <c r="O186" s="56"/>
      <c r="P186" s="501" t="s">
        <v>90</v>
      </c>
      <c r="Q186" s="475"/>
      <c r="R186" s="475"/>
      <c r="S186" s="475"/>
      <c r="T186" s="475"/>
      <c r="U186" s="475"/>
      <c r="V186" s="212">
        <f>V190*V191*V182+(4*V182)+7.7+((V192-50000)/3000)</f>
        <v>11.033333333333333</v>
      </c>
      <c r="W186" s="47"/>
      <c r="X186" s="47"/>
      <c r="Y186" s="47"/>
      <c r="Z186" s="47"/>
      <c r="AA186" s="51"/>
    </row>
    <row r="187" spans="2:27" ht="13.5">
      <c r="B187" s="116">
        <v>65000</v>
      </c>
      <c r="C187" s="254"/>
      <c r="D187" s="254"/>
      <c r="E187" s="254"/>
      <c r="F187" s="254"/>
      <c r="G187" s="254"/>
      <c r="H187" s="254"/>
      <c r="I187" s="254"/>
      <c r="J187" s="254"/>
      <c r="K187" s="254"/>
      <c r="L187" s="254"/>
      <c r="M187" s="254"/>
      <c r="O187" s="56"/>
      <c r="P187" s="501" t="s">
        <v>116</v>
      </c>
      <c r="Q187" s="475"/>
      <c r="R187" s="475"/>
      <c r="S187" s="475"/>
      <c r="T187" s="475"/>
      <c r="U187" s="475"/>
      <c r="V187" s="212">
        <f>V190*V191*V182+(5*V182)+27.5+((V192-250000)/4000)</f>
        <v>-20</v>
      </c>
      <c r="W187" s="47"/>
      <c r="X187" s="47"/>
      <c r="Y187" s="47"/>
      <c r="Z187" s="47"/>
      <c r="AA187" s="51"/>
    </row>
    <row r="188" spans="2:27" ht="13.5">
      <c r="B188" s="116">
        <v>70000</v>
      </c>
      <c r="C188" s="254"/>
      <c r="D188" s="254"/>
      <c r="E188" s="254"/>
      <c r="F188" s="254"/>
      <c r="G188" s="254"/>
      <c r="H188" s="254"/>
      <c r="I188" s="254"/>
      <c r="J188" s="254"/>
      <c r="K188" s="254"/>
      <c r="L188" s="254"/>
      <c r="M188" s="254"/>
      <c r="O188" s="56"/>
      <c r="P188" s="501" t="s">
        <v>117</v>
      </c>
      <c r="Q188" s="475"/>
      <c r="R188" s="475"/>
      <c r="S188" s="475"/>
      <c r="T188" s="475"/>
      <c r="U188" s="475"/>
      <c r="V188" s="212">
        <f>V190*V191*V182+(6*V182)+49.5+((V192-500000)/5000)</f>
        <v>-38.5</v>
      </c>
      <c r="W188" s="47"/>
      <c r="X188" s="47"/>
      <c r="Y188" s="47"/>
      <c r="Z188" s="47"/>
      <c r="AA188" s="51"/>
    </row>
    <row r="189" spans="2:27" ht="13.5">
      <c r="B189" s="116">
        <v>75000</v>
      </c>
      <c r="C189" s="254"/>
      <c r="D189" s="254"/>
      <c r="E189" s="254"/>
      <c r="F189" s="254"/>
      <c r="G189" s="254"/>
      <c r="H189" s="254"/>
      <c r="I189" s="254"/>
      <c r="J189" s="254"/>
      <c r="K189" s="254"/>
      <c r="L189" s="254"/>
      <c r="M189" s="254"/>
      <c r="O189" s="56"/>
      <c r="P189" s="57"/>
      <c r="Q189" s="47"/>
      <c r="R189" s="47"/>
      <c r="S189" s="47"/>
      <c r="T189" s="47"/>
      <c r="U189" s="47"/>
      <c r="V189" s="47"/>
      <c r="W189" s="47"/>
      <c r="X189" s="47"/>
      <c r="Y189" s="47"/>
      <c r="Z189" s="47"/>
      <c r="AA189" s="51"/>
    </row>
    <row r="190" spans="2:27" ht="13.5">
      <c r="B190" s="123">
        <v>80000</v>
      </c>
      <c r="C190" s="255"/>
      <c r="D190" s="255"/>
      <c r="E190" s="255"/>
      <c r="F190" s="255"/>
      <c r="G190" s="255"/>
      <c r="H190" s="255"/>
      <c r="I190" s="255"/>
      <c r="J190" s="255"/>
      <c r="K190" s="255"/>
      <c r="L190" s="255"/>
      <c r="M190" s="255"/>
      <c r="O190" s="56"/>
      <c r="P190" s="568" t="s">
        <v>88</v>
      </c>
      <c r="Q190" s="569"/>
      <c r="R190" s="569"/>
      <c r="S190" s="569"/>
      <c r="T190" s="569"/>
      <c r="U190" s="569"/>
      <c r="V190" s="214">
        <f>HESAP!C46</f>
        <v>1</v>
      </c>
      <c r="W190" s="47"/>
      <c r="X190" s="47"/>
      <c r="Y190" s="47"/>
      <c r="Z190" s="47"/>
      <c r="AA190" s="51"/>
    </row>
    <row r="191" spans="15:27" ht="13.5">
      <c r="O191" s="56"/>
      <c r="P191" s="568" t="s">
        <v>87</v>
      </c>
      <c r="Q191" s="569"/>
      <c r="R191" s="569"/>
      <c r="S191" s="569"/>
      <c r="T191" s="569"/>
      <c r="U191" s="569"/>
      <c r="V191" s="215">
        <f>HESAP!C47</f>
        <v>1</v>
      </c>
      <c r="W191" s="47"/>
      <c r="X191" s="47"/>
      <c r="Y191" s="47"/>
      <c r="Z191" s="47"/>
      <c r="AA191" s="51"/>
    </row>
    <row r="192" spans="2:27" ht="13.5">
      <c r="B192" s="526" t="s">
        <v>110</v>
      </c>
      <c r="C192" s="527"/>
      <c r="D192" s="527"/>
      <c r="E192" s="527"/>
      <c r="F192" s="527"/>
      <c r="G192" s="528"/>
      <c r="H192" s="44"/>
      <c r="I192" s="44"/>
      <c r="J192" s="44"/>
      <c r="K192" s="44"/>
      <c r="L192" s="44"/>
      <c r="M192" s="44"/>
      <c r="O192" s="56"/>
      <c r="P192" s="559" t="s">
        <v>86</v>
      </c>
      <c r="Q192" s="560"/>
      <c r="R192" s="560"/>
      <c r="S192" s="560"/>
      <c r="T192" s="560"/>
      <c r="U192" s="560"/>
      <c r="V192" s="216">
        <f>HESAP!C48</f>
        <v>60000</v>
      </c>
      <c r="W192" s="47"/>
      <c r="X192" s="47"/>
      <c r="Y192" s="47"/>
      <c r="Z192" s="47"/>
      <c r="AA192" s="51"/>
    </row>
    <row r="193" spans="2:29" ht="14.25" thickBot="1">
      <c r="B193" s="124" t="s">
        <v>76</v>
      </c>
      <c r="C193" s="125" t="s">
        <v>78</v>
      </c>
      <c r="D193" s="125" t="s">
        <v>79</v>
      </c>
      <c r="E193" s="125" t="s">
        <v>70</v>
      </c>
      <c r="F193" s="125" t="s">
        <v>71</v>
      </c>
      <c r="G193" s="125" t="s">
        <v>72</v>
      </c>
      <c r="H193" s="44"/>
      <c r="I193" s="44"/>
      <c r="J193" s="44"/>
      <c r="K193" s="44"/>
      <c r="L193" s="44"/>
      <c r="M193" s="44"/>
      <c r="O193" s="56"/>
      <c r="P193" s="557" t="s">
        <v>118</v>
      </c>
      <c r="Q193" s="558"/>
      <c r="R193" s="558"/>
      <c r="S193" s="558"/>
      <c r="T193" s="558"/>
      <c r="U193" s="558"/>
      <c r="V193" s="217">
        <f>IF(AND(V192&gt;0,V192&lt;=12000),V184,IF(AND(V192&gt;12000,V192&lt;=60000),V185,IF(AND(V192&gt;60000,V192&lt;=300000),V186,IF(AND(V192&gt;300000,V192&lt;=600000),V187,IF(V192&gt;600000,V188,"")))))</f>
        <v>26</v>
      </c>
      <c r="W193" s="73"/>
      <c r="X193" s="73"/>
      <c r="Y193" s="73"/>
      <c r="Z193" s="73"/>
      <c r="AA193" s="74"/>
      <c r="AB193" s="97"/>
      <c r="AC193" s="56"/>
    </row>
    <row r="194" spans="2:29" ht="14.25" thickBot="1">
      <c r="B194" s="50" t="s">
        <v>77</v>
      </c>
      <c r="C194" s="403">
        <f>M39</f>
        <v>235</v>
      </c>
      <c r="D194" s="403">
        <f>M40</f>
        <v>345</v>
      </c>
      <c r="E194" s="403">
        <f>M43</f>
        <v>550</v>
      </c>
      <c r="F194" s="403">
        <f>M44</f>
        <v>1050</v>
      </c>
      <c r="G194" s="403">
        <f>M45</f>
        <v>1470</v>
      </c>
      <c r="H194" s="44"/>
      <c r="I194" s="44"/>
      <c r="J194" s="44"/>
      <c r="K194" s="44"/>
      <c r="L194" s="44"/>
      <c r="M194" s="44"/>
      <c r="O194" s="56"/>
      <c r="AB194" s="98"/>
      <c r="AC194" s="56"/>
    </row>
    <row r="195" spans="2:29" ht="14.25" thickBot="1">
      <c r="B195" s="44"/>
      <c r="C195" s="44"/>
      <c r="D195" s="44"/>
      <c r="E195" s="44"/>
      <c r="F195" s="44"/>
      <c r="G195" s="44"/>
      <c r="H195" s="44"/>
      <c r="I195" s="44"/>
      <c r="J195" s="44"/>
      <c r="K195" s="44"/>
      <c r="L195" s="44"/>
      <c r="M195" s="44"/>
      <c r="O195" s="56"/>
      <c r="P195" s="506" t="s">
        <v>193</v>
      </c>
      <c r="Q195" s="507"/>
      <c r="R195" s="507"/>
      <c r="S195" s="507"/>
      <c r="T195" s="507"/>
      <c r="U195" s="507"/>
      <c r="V195" s="507"/>
      <c r="W195" s="507"/>
      <c r="X195" s="507"/>
      <c r="Y195" s="507"/>
      <c r="Z195" s="507"/>
      <c r="AA195" s="508"/>
      <c r="AB195" s="47"/>
      <c r="AC195" s="56"/>
    </row>
    <row r="196" spans="2:27" ht="14.25" thickBot="1">
      <c r="B196" s="540" t="s">
        <v>10</v>
      </c>
      <c r="C196" s="541"/>
      <c r="D196" s="541"/>
      <c r="E196" s="541"/>
      <c r="F196" s="541"/>
      <c r="G196" s="541"/>
      <c r="H196" s="541"/>
      <c r="I196" s="541"/>
      <c r="J196" s="541"/>
      <c r="K196" s="541"/>
      <c r="L196" s="541"/>
      <c r="M196" s="542"/>
      <c r="O196" s="56"/>
      <c r="P196" s="509"/>
      <c r="Q196" s="510"/>
      <c r="R196" s="510"/>
      <c r="S196" s="510"/>
      <c r="T196" s="510"/>
      <c r="U196" s="510"/>
      <c r="V196" s="510"/>
      <c r="W196" s="510"/>
      <c r="X196" s="510"/>
      <c r="Y196" s="510"/>
      <c r="Z196" s="510"/>
      <c r="AA196" s="511"/>
    </row>
    <row r="197" spans="2:27" ht="13.5">
      <c r="B197" s="543"/>
      <c r="C197" s="544"/>
      <c r="D197" s="544"/>
      <c r="E197" s="544"/>
      <c r="F197" s="544"/>
      <c r="G197" s="544"/>
      <c r="H197" s="544"/>
      <c r="I197" s="544"/>
      <c r="J197" s="544"/>
      <c r="K197" s="544"/>
      <c r="L197" s="544"/>
      <c r="M197" s="545"/>
      <c r="O197" s="56"/>
      <c r="P197" s="574" t="s">
        <v>91</v>
      </c>
      <c r="Q197" s="575"/>
      <c r="R197" s="575"/>
      <c r="S197" s="575"/>
      <c r="T197" s="575"/>
      <c r="U197" s="575"/>
      <c r="V197" s="352" t="s">
        <v>92</v>
      </c>
      <c r="W197" s="353"/>
      <c r="X197" s="353"/>
      <c r="Y197" s="353"/>
      <c r="Z197" s="354"/>
      <c r="AA197" s="355"/>
    </row>
    <row r="198" spans="2:27" ht="13.5">
      <c r="B198" s="410" t="s">
        <v>42</v>
      </c>
      <c r="C198" s="128" t="s">
        <v>27</v>
      </c>
      <c r="D198" s="129" t="s">
        <v>28</v>
      </c>
      <c r="E198" s="129" t="s">
        <v>29</v>
      </c>
      <c r="F198" s="129" t="s">
        <v>30</v>
      </c>
      <c r="G198" s="129" t="s">
        <v>31</v>
      </c>
      <c r="H198" s="129" t="s">
        <v>32</v>
      </c>
      <c r="I198" s="129" t="s">
        <v>33</v>
      </c>
      <c r="J198" s="129" t="s">
        <v>34</v>
      </c>
      <c r="K198" s="129" t="s">
        <v>35</v>
      </c>
      <c r="L198" s="129" t="s">
        <v>36</v>
      </c>
      <c r="M198" s="411" t="s">
        <v>37</v>
      </c>
      <c r="O198" s="56"/>
      <c r="P198" s="518" t="s">
        <v>140</v>
      </c>
      <c r="Q198" s="519"/>
      <c r="R198" s="519"/>
      <c r="S198" s="519"/>
      <c r="T198" s="519"/>
      <c r="U198" s="519"/>
      <c r="V198" s="356">
        <f>M66</f>
        <v>0</v>
      </c>
      <c r="W198" s="353"/>
      <c r="X198" s="353"/>
      <c r="Y198" s="357"/>
      <c r="Z198" s="357"/>
      <c r="AA198" s="355"/>
    </row>
    <row r="199" spans="2:27" ht="13.5">
      <c r="B199" s="412">
        <v>250</v>
      </c>
      <c r="C199" s="130">
        <v>4.37</v>
      </c>
      <c r="D199" s="130">
        <v>4.93</v>
      </c>
      <c r="E199" s="130">
        <v>5.49</v>
      </c>
      <c r="F199" s="130">
        <v>5.49</v>
      </c>
      <c r="G199" s="130">
        <v>6.85</v>
      </c>
      <c r="H199" s="130">
        <v>6.85</v>
      </c>
      <c r="I199" s="130">
        <v>6.85</v>
      </c>
      <c r="J199" s="130">
        <v>6.61</v>
      </c>
      <c r="K199" s="130">
        <v>6.61</v>
      </c>
      <c r="L199" s="130">
        <v>6.61</v>
      </c>
      <c r="M199" s="413">
        <v>6.61</v>
      </c>
      <c r="O199" s="56"/>
      <c r="P199" s="518" t="s">
        <v>141</v>
      </c>
      <c r="Q199" s="519"/>
      <c r="R199" s="519"/>
      <c r="S199" s="519"/>
      <c r="T199" s="519"/>
      <c r="U199" s="519"/>
      <c r="V199" s="356">
        <f>M68</f>
        <v>0</v>
      </c>
      <c r="W199" s="358"/>
      <c r="X199" s="358"/>
      <c r="Y199" s="358"/>
      <c r="Z199" s="358"/>
      <c r="AA199" s="359"/>
    </row>
    <row r="200" spans="2:27" ht="13.5">
      <c r="B200" s="414">
        <v>300</v>
      </c>
      <c r="C200" s="131">
        <v>4.28</v>
      </c>
      <c r="D200" s="131">
        <v>4.84</v>
      </c>
      <c r="E200" s="131">
        <v>5.4</v>
      </c>
      <c r="F200" s="131">
        <v>5.4</v>
      </c>
      <c r="G200" s="131">
        <v>5.96</v>
      </c>
      <c r="H200" s="131">
        <v>5.96</v>
      </c>
      <c r="I200" s="131">
        <v>5.96</v>
      </c>
      <c r="J200" s="131">
        <v>6.52</v>
      </c>
      <c r="K200" s="131">
        <v>6.52</v>
      </c>
      <c r="L200" s="131">
        <v>6.52</v>
      </c>
      <c r="M200" s="415">
        <v>6.52</v>
      </c>
      <c r="O200" s="56"/>
      <c r="P200" s="518" t="s">
        <v>137</v>
      </c>
      <c r="Q200" s="519"/>
      <c r="R200" s="519"/>
      <c r="S200" s="519"/>
      <c r="T200" s="519"/>
      <c r="U200" s="519"/>
      <c r="V200" s="356">
        <f>M69</f>
        <v>0</v>
      </c>
      <c r="W200" s="358"/>
      <c r="X200" s="358"/>
      <c r="Y200" s="358"/>
      <c r="Z200" s="358"/>
      <c r="AA200" s="359"/>
    </row>
    <row r="201" spans="2:27" ht="13.5">
      <c r="B201" s="414">
        <v>400</v>
      </c>
      <c r="C201" s="131">
        <v>4.1</v>
      </c>
      <c r="D201" s="131">
        <v>4.66</v>
      </c>
      <c r="E201" s="131">
        <v>5.22</v>
      </c>
      <c r="F201" s="131">
        <v>5.22</v>
      </c>
      <c r="G201" s="131">
        <v>5.78</v>
      </c>
      <c r="H201" s="131">
        <v>5.78</v>
      </c>
      <c r="I201" s="131">
        <v>5.78</v>
      </c>
      <c r="J201" s="131">
        <v>6.34</v>
      </c>
      <c r="K201" s="131">
        <v>6.34</v>
      </c>
      <c r="L201" s="131">
        <v>6.34</v>
      </c>
      <c r="M201" s="415">
        <v>6.34</v>
      </c>
      <c r="O201" s="56"/>
      <c r="P201" s="518" t="s">
        <v>142</v>
      </c>
      <c r="Q201" s="519"/>
      <c r="R201" s="519"/>
      <c r="S201" s="519"/>
      <c r="T201" s="519"/>
      <c r="U201" s="519"/>
      <c r="V201" s="356">
        <f>M71</f>
        <v>0</v>
      </c>
      <c r="W201" s="358"/>
      <c r="X201" s="358"/>
      <c r="Y201" s="358"/>
      <c r="Z201" s="358"/>
      <c r="AA201" s="359"/>
    </row>
    <row r="202" spans="2:27" ht="13.5">
      <c r="B202" s="414">
        <v>500</v>
      </c>
      <c r="C202" s="131">
        <v>3.92</v>
      </c>
      <c r="D202" s="131">
        <v>4.48</v>
      </c>
      <c r="E202" s="131">
        <v>5.04</v>
      </c>
      <c r="F202" s="131">
        <v>5.04</v>
      </c>
      <c r="G202" s="131">
        <v>5.6</v>
      </c>
      <c r="H202" s="131">
        <v>5.6</v>
      </c>
      <c r="I202" s="131">
        <v>5.6</v>
      </c>
      <c r="J202" s="131">
        <v>6.16</v>
      </c>
      <c r="K202" s="131">
        <v>6.16</v>
      </c>
      <c r="L202" s="131">
        <v>6.16</v>
      </c>
      <c r="M202" s="415">
        <v>6.16</v>
      </c>
      <c r="O202" s="56"/>
      <c r="P202" s="582" t="s">
        <v>135</v>
      </c>
      <c r="Q202" s="583"/>
      <c r="R202" s="583"/>
      <c r="S202" s="583"/>
      <c r="T202" s="583"/>
      <c r="U202" s="583"/>
      <c r="V202" s="584"/>
      <c r="W202" s="358"/>
      <c r="X202" s="358"/>
      <c r="Y202" s="358"/>
      <c r="Z202" s="358"/>
      <c r="AA202" s="359"/>
    </row>
    <row r="203" spans="2:27" ht="13.5">
      <c r="B203" s="414">
        <v>600</v>
      </c>
      <c r="C203" s="227">
        <v>3.74</v>
      </c>
      <c r="D203" s="227">
        <v>4.3</v>
      </c>
      <c r="E203" s="227">
        <v>4.86</v>
      </c>
      <c r="F203" s="227">
        <v>4.86</v>
      </c>
      <c r="G203" s="227">
        <v>5.42</v>
      </c>
      <c r="H203" s="227">
        <v>5.42</v>
      </c>
      <c r="I203" s="227">
        <v>5.42</v>
      </c>
      <c r="J203" s="227">
        <v>5.98</v>
      </c>
      <c r="K203" s="227">
        <v>5.98</v>
      </c>
      <c r="L203" s="227">
        <v>5.98</v>
      </c>
      <c r="M203" s="416">
        <v>5.98</v>
      </c>
      <c r="O203" s="56"/>
      <c r="P203" s="518" t="s">
        <v>143</v>
      </c>
      <c r="Q203" s="519"/>
      <c r="R203" s="519"/>
      <c r="S203" s="519"/>
      <c r="T203" s="519"/>
      <c r="U203" s="519"/>
      <c r="V203" s="356">
        <f>M74</f>
        <v>0</v>
      </c>
      <c r="W203" s="358"/>
      <c r="X203" s="358"/>
      <c r="Y203" s="358"/>
      <c r="Z203" s="358"/>
      <c r="AA203" s="359"/>
    </row>
    <row r="204" spans="2:27" ht="13.5">
      <c r="B204" s="414">
        <v>700</v>
      </c>
      <c r="C204" s="131">
        <v>3.56</v>
      </c>
      <c r="D204" s="131">
        <v>4.12</v>
      </c>
      <c r="E204" s="131">
        <v>4.68</v>
      </c>
      <c r="F204" s="131">
        <v>4.68</v>
      </c>
      <c r="G204" s="131">
        <v>5.24</v>
      </c>
      <c r="H204" s="131">
        <v>5.24</v>
      </c>
      <c r="I204" s="131">
        <v>5.24</v>
      </c>
      <c r="J204" s="131">
        <v>5.8</v>
      </c>
      <c r="K204" s="131">
        <v>5.8</v>
      </c>
      <c r="L204" s="131">
        <v>5.8</v>
      </c>
      <c r="M204" s="415">
        <v>5.8</v>
      </c>
      <c r="O204" s="56"/>
      <c r="P204" s="518" t="s">
        <v>181</v>
      </c>
      <c r="Q204" s="519"/>
      <c r="R204" s="519"/>
      <c r="S204" s="519"/>
      <c r="T204" s="519"/>
      <c r="U204" s="519"/>
      <c r="V204" s="356">
        <f>M75</f>
        <v>0</v>
      </c>
      <c r="W204" s="358"/>
      <c r="X204" s="358"/>
      <c r="Y204" s="358"/>
      <c r="Z204" s="358"/>
      <c r="AA204" s="359"/>
    </row>
    <row r="205" spans="2:27" ht="13.5">
      <c r="B205" s="414">
        <v>800</v>
      </c>
      <c r="C205" s="131">
        <v>3.38</v>
      </c>
      <c r="D205" s="131">
        <v>3.94</v>
      </c>
      <c r="E205" s="131">
        <v>4.5</v>
      </c>
      <c r="F205" s="131">
        <v>4.5</v>
      </c>
      <c r="G205" s="131">
        <v>5.06</v>
      </c>
      <c r="H205" s="131">
        <v>5.06</v>
      </c>
      <c r="I205" s="131">
        <v>5.06</v>
      </c>
      <c r="J205" s="131">
        <v>5.62</v>
      </c>
      <c r="K205" s="131">
        <v>5.62</v>
      </c>
      <c r="L205" s="131">
        <v>5.62</v>
      </c>
      <c r="M205" s="415">
        <v>5.62</v>
      </c>
      <c r="O205" s="56"/>
      <c r="P205" s="360"/>
      <c r="Q205" s="358"/>
      <c r="R205" s="358"/>
      <c r="S205" s="358"/>
      <c r="T205" s="358"/>
      <c r="U205" s="358"/>
      <c r="V205" s="358"/>
      <c r="W205" s="358"/>
      <c r="X205" s="358"/>
      <c r="Y205" s="358"/>
      <c r="Z205" s="358"/>
      <c r="AA205" s="359"/>
    </row>
    <row r="206" spans="2:27" ht="14.25" thickBot="1">
      <c r="B206" s="414">
        <v>900</v>
      </c>
      <c r="C206" s="131">
        <v>3.2</v>
      </c>
      <c r="D206" s="131">
        <v>3.76</v>
      </c>
      <c r="E206" s="131">
        <v>4.32</v>
      </c>
      <c r="F206" s="131">
        <v>4.32</v>
      </c>
      <c r="G206" s="131">
        <v>4.88</v>
      </c>
      <c r="H206" s="131">
        <v>4.88</v>
      </c>
      <c r="I206" s="131">
        <v>4.88</v>
      </c>
      <c r="J206" s="131">
        <v>5.44</v>
      </c>
      <c r="K206" s="131">
        <v>5.44</v>
      </c>
      <c r="L206" s="131">
        <v>5.44</v>
      </c>
      <c r="M206" s="415">
        <v>5.44</v>
      </c>
      <c r="O206" s="56"/>
      <c r="P206" s="580" t="s">
        <v>136</v>
      </c>
      <c r="Q206" s="581"/>
      <c r="R206" s="581"/>
      <c r="S206" s="581"/>
      <c r="T206" s="581"/>
      <c r="U206" s="581"/>
      <c r="V206" s="581"/>
      <c r="W206" s="361"/>
      <c r="X206" s="361"/>
      <c r="Y206" s="361"/>
      <c r="Z206" s="361"/>
      <c r="AA206" s="362"/>
    </row>
    <row r="207" spans="2:27" ht="14.25" thickBot="1">
      <c r="B207" s="414">
        <v>1000</v>
      </c>
      <c r="C207" s="131">
        <v>3.02</v>
      </c>
      <c r="D207" s="131">
        <v>3.58</v>
      </c>
      <c r="E207" s="131">
        <v>4.14</v>
      </c>
      <c r="F207" s="131">
        <v>4.14</v>
      </c>
      <c r="G207" s="131">
        <v>4.7</v>
      </c>
      <c r="H207" s="131">
        <v>4.7</v>
      </c>
      <c r="I207" s="131">
        <v>4.7</v>
      </c>
      <c r="J207" s="131">
        <v>5.26</v>
      </c>
      <c r="K207" s="131">
        <v>5.26</v>
      </c>
      <c r="L207" s="131">
        <v>5.26</v>
      </c>
      <c r="M207" s="415">
        <v>5.26</v>
      </c>
      <c r="O207" s="56"/>
      <c r="P207" s="57"/>
      <c r="Q207" s="47"/>
      <c r="R207" s="47"/>
      <c r="S207" s="47"/>
      <c r="T207" s="47"/>
      <c r="U207" s="47"/>
      <c r="V207" s="47"/>
      <c r="W207" s="47"/>
      <c r="X207" s="47"/>
      <c r="Y207" s="47"/>
      <c r="Z207" s="47"/>
      <c r="AA207" s="51"/>
    </row>
    <row r="208" spans="2:27" ht="14.25" thickBot="1">
      <c r="B208" s="414">
        <v>1500</v>
      </c>
      <c r="C208" s="131">
        <v>2.82</v>
      </c>
      <c r="D208" s="131">
        <v>3.34</v>
      </c>
      <c r="E208" s="131">
        <v>3.85</v>
      </c>
      <c r="F208" s="131">
        <v>3.85</v>
      </c>
      <c r="G208" s="131">
        <v>4.37</v>
      </c>
      <c r="H208" s="131">
        <v>4.37</v>
      </c>
      <c r="I208" s="131">
        <v>4.37</v>
      </c>
      <c r="J208" s="131">
        <v>4.88</v>
      </c>
      <c r="K208" s="131">
        <v>4.88</v>
      </c>
      <c r="L208" s="131">
        <v>4.88</v>
      </c>
      <c r="M208" s="415">
        <v>4.88</v>
      </c>
      <c r="O208" s="56"/>
      <c r="P208" s="363" t="s">
        <v>182</v>
      </c>
      <c r="Q208" s="47"/>
      <c r="R208" s="47"/>
      <c r="S208" s="47"/>
      <c r="T208" s="47"/>
      <c r="U208" s="47"/>
      <c r="V208" s="47"/>
      <c r="W208" s="47"/>
      <c r="X208" s="47"/>
      <c r="Y208" s="47"/>
      <c r="Z208" s="47"/>
      <c r="AA208" s="51"/>
    </row>
    <row r="209" spans="2:27" ht="13.5">
      <c r="B209" s="414">
        <v>2000</v>
      </c>
      <c r="C209" s="131">
        <v>2.62</v>
      </c>
      <c r="D209" s="131">
        <v>3.09</v>
      </c>
      <c r="E209" s="131">
        <v>3.56</v>
      </c>
      <c r="F209" s="131">
        <v>3.56</v>
      </c>
      <c r="G209" s="131">
        <v>4.04</v>
      </c>
      <c r="H209" s="131">
        <v>4.04</v>
      </c>
      <c r="I209" s="131">
        <v>4.04</v>
      </c>
      <c r="J209" s="131">
        <v>4.5</v>
      </c>
      <c r="K209" s="131">
        <v>4.5</v>
      </c>
      <c r="L209" s="131">
        <v>4.5</v>
      </c>
      <c r="M209" s="415">
        <v>4.5</v>
      </c>
      <c r="O209" s="56"/>
      <c r="P209" s="364" t="s">
        <v>179</v>
      </c>
      <c r="Q209" s="375">
        <v>1</v>
      </c>
      <c r="R209" s="350" t="s">
        <v>131</v>
      </c>
      <c r="S209" s="47"/>
      <c r="T209" s="351">
        <v>1</v>
      </c>
      <c r="U209" s="348">
        <f>(T209*T211)+T210</f>
        <v>0</v>
      </c>
      <c r="V209" s="47"/>
      <c r="W209" s="47"/>
      <c r="X209" s="47"/>
      <c r="Y209" s="47"/>
      <c r="Z209" s="47"/>
      <c r="AA209" s="51"/>
    </row>
    <row r="210" spans="2:27" ht="13.5">
      <c r="B210" s="414">
        <v>2500</v>
      </c>
      <c r="C210" s="131">
        <v>2.42</v>
      </c>
      <c r="D210" s="131">
        <v>2.84</v>
      </c>
      <c r="E210" s="131">
        <v>3.27</v>
      </c>
      <c r="F210" s="131">
        <v>3.27</v>
      </c>
      <c r="G210" s="131">
        <v>3.7</v>
      </c>
      <c r="H210" s="131">
        <v>3.7</v>
      </c>
      <c r="I210" s="131">
        <v>3.7</v>
      </c>
      <c r="J210" s="131">
        <v>4.12</v>
      </c>
      <c r="K210" s="131">
        <v>4.12</v>
      </c>
      <c r="L210" s="131">
        <v>4.12</v>
      </c>
      <c r="M210" s="415">
        <v>4.12</v>
      </c>
      <c r="P210" s="365" t="s">
        <v>185</v>
      </c>
      <c r="Q210" s="369">
        <f>HESAP!C60</f>
        <v>0</v>
      </c>
      <c r="R210" s="370" t="s">
        <v>172</v>
      </c>
      <c r="S210" s="47"/>
      <c r="T210" s="351">
        <f>IF(Q210&lt;=10,(Q210*V203),(Q210*V204))</f>
        <v>0</v>
      </c>
      <c r="U210" s="47"/>
      <c r="V210" s="47"/>
      <c r="W210" s="47"/>
      <c r="X210" s="47"/>
      <c r="Y210" s="47"/>
      <c r="Z210" s="47"/>
      <c r="AA210" s="51"/>
    </row>
    <row r="211" spans="2:27" ht="14.25" thickBot="1">
      <c r="B211" s="414">
        <v>3000</v>
      </c>
      <c r="C211" s="131">
        <v>2.33</v>
      </c>
      <c r="D211" s="131">
        <v>2.74</v>
      </c>
      <c r="E211" s="131">
        <v>3.14</v>
      </c>
      <c r="F211" s="131">
        <v>3.14</v>
      </c>
      <c r="G211" s="131">
        <v>3.55</v>
      </c>
      <c r="H211" s="131">
        <v>3.55</v>
      </c>
      <c r="I211" s="131">
        <v>3.55</v>
      </c>
      <c r="J211" s="131">
        <v>3.95</v>
      </c>
      <c r="K211" s="131">
        <v>3.95</v>
      </c>
      <c r="L211" s="131">
        <v>3.95</v>
      </c>
      <c r="M211" s="415">
        <v>3.95</v>
      </c>
      <c r="P211" s="366" t="s">
        <v>184</v>
      </c>
      <c r="Q211" s="371">
        <f>HESAP!C61</f>
        <v>1</v>
      </c>
      <c r="R211" s="372" t="s">
        <v>172</v>
      </c>
      <c r="S211" s="47"/>
      <c r="T211" s="351">
        <f>V198*Q211</f>
        <v>0</v>
      </c>
      <c r="U211" s="47"/>
      <c r="V211" s="47"/>
      <c r="W211" s="47"/>
      <c r="X211" s="47"/>
      <c r="Y211" s="47"/>
      <c r="Z211" s="47"/>
      <c r="AA211" s="51"/>
    </row>
    <row r="212" spans="2:27" ht="14.25" thickBot="1">
      <c r="B212" s="414">
        <v>3500</v>
      </c>
      <c r="C212" s="131">
        <v>2.25</v>
      </c>
      <c r="D212" s="131">
        <v>2.63</v>
      </c>
      <c r="E212" s="131">
        <v>3.01</v>
      </c>
      <c r="F212" s="131">
        <v>3.01</v>
      </c>
      <c r="G212" s="131">
        <v>3.4</v>
      </c>
      <c r="H212" s="131">
        <v>3.4</v>
      </c>
      <c r="I212" s="131">
        <v>3.4</v>
      </c>
      <c r="J212" s="131">
        <v>3.77</v>
      </c>
      <c r="K212" s="131">
        <v>3.77</v>
      </c>
      <c r="L212" s="131">
        <v>3.77</v>
      </c>
      <c r="M212" s="415">
        <v>3.77</v>
      </c>
      <c r="P212" s="367"/>
      <c r="Q212" s="47"/>
      <c r="R212" s="47"/>
      <c r="S212" s="47"/>
      <c r="T212" s="47"/>
      <c r="U212" s="47"/>
      <c r="V212" s="47"/>
      <c r="W212" s="47"/>
      <c r="X212" s="47"/>
      <c r="Y212" s="47"/>
      <c r="Z212" s="47"/>
      <c r="AA212" s="51"/>
    </row>
    <row r="213" spans="2:27" ht="14.25" thickBot="1">
      <c r="B213" s="414">
        <v>4000</v>
      </c>
      <c r="C213" s="131">
        <v>2.16</v>
      </c>
      <c r="D213" s="131">
        <v>2.53</v>
      </c>
      <c r="E213" s="131">
        <v>2.88</v>
      </c>
      <c r="F213" s="131">
        <v>2.88</v>
      </c>
      <c r="G213" s="131">
        <v>3.24</v>
      </c>
      <c r="H213" s="131">
        <v>3.24</v>
      </c>
      <c r="I213" s="131">
        <v>3.24</v>
      </c>
      <c r="J213" s="131">
        <v>3.6</v>
      </c>
      <c r="K213" s="131">
        <v>3.6</v>
      </c>
      <c r="L213" s="131">
        <v>3.6</v>
      </c>
      <c r="M213" s="415">
        <v>3.6</v>
      </c>
      <c r="P213" s="363" t="s">
        <v>183</v>
      </c>
      <c r="Q213" s="47"/>
      <c r="R213" s="47"/>
      <c r="S213" s="47"/>
      <c r="T213" s="47"/>
      <c r="U213" s="47"/>
      <c r="V213" s="47"/>
      <c r="W213" s="47"/>
      <c r="X213" s="47"/>
      <c r="Y213" s="47"/>
      <c r="Z213" s="47"/>
      <c r="AA213" s="51"/>
    </row>
    <row r="214" spans="2:27" ht="13.5">
      <c r="B214" s="414">
        <v>4500</v>
      </c>
      <c r="C214" s="131">
        <v>2.09</v>
      </c>
      <c r="D214" s="131">
        <v>2.42</v>
      </c>
      <c r="E214" s="131">
        <v>2.75</v>
      </c>
      <c r="F214" s="131">
        <v>2.75</v>
      </c>
      <c r="G214" s="131">
        <v>3.09</v>
      </c>
      <c r="H214" s="131">
        <v>3.09</v>
      </c>
      <c r="I214" s="131">
        <v>3.09</v>
      </c>
      <c r="J214" s="131">
        <v>3.42</v>
      </c>
      <c r="K214" s="131">
        <v>3.42</v>
      </c>
      <c r="L214" s="131">
        <v>3.42</v>
      </c>
      <c r="M214" s="415">
        <v>3.42</v>
      </c>
      <c r="P214" s="364" t="s">
        <v>180</v>
      </c>
      <c r="Q214" s="375">
        <v>1</v>
      </c>
      <c r="R214" s="350" t="s">
        <v>131</v>
      </c>
      <c r="S214" s="47"/>
      <c r="T214" s="351">
        <f>Q214*V199*Q215</f>
        <v>0</v>
      </c>
      <c r="U214" s="349">
        <f>T214+T216+T215</f>
        <v>0</v>
      </c>
      <c r="V214" s="47"/>
      <c r="W214" s="47"/>
      <c r="X214" s="47"/>
      <c r="Y214" s="47"/>
      <c r="Z214" s="47"/>
      <c r="AA214" s="51"/>
    </row>
    <row r="215" spans="2:27" ht="13.5">
      <c r="B215" s="414">
        <v>5000</v>
      </c>
      <c r="C215" s="131">
        <v>2</v>
      </c>
      <c r="D215" s="131">
        <v>2.31</v>
      </c>
      <c r="E215" s="131">
        <v>2.62</v>
      </c>
      <c r="F215" s="131">
        <v>2.62</v>
      </c>
      <c r="G215" s="131">
        <v>2.93</v>
      </c>
      <c r="H215" s="131">
        <v>2.93</v>
      </c>
      <c r="I215" s="131">
        <v>2.93</v>
      </c>
      <c r="J215" s="131">
        <v>3.24</v>
      </c>
      <c r="K215" s="131">
        <v>3.24</v>
      </c>
      <c r="L215" s="131">
        <v>3.24</v>
      </c>
      <c r="M215" s="415">
        <v>3.24</v>
      </c>
      <c r="P215" s="365" t="s">
        <v>186</v>
      </c>
      <c r="Q215" s="369">
        <f>HESAP!C69</f>
        <v>1</v>
      </c>
      <c r="R215" s="370" t="s">
        <v>187</v>
      </c>
      <c r="S215" s="47"/>
      <c r="T215" s="351">
        <f>IF(Q216&lt;=10,(Q216*V203),(Q216*V204))</f>
        <v>0</v>
      </c>
      <c r="U215" s="47"/>
      <c r="V215" s="47"/>
      <c r="W215" s="47"/>
      <c r="X215" s="47"/>
      <c r="Y215" s="47"/>
      <c r="Z215" s="47"/>
      <c r="AA215" s="51"/>
    </row>
    <row r="216" spans="2:27" ht="13.5">
      <c r="B216" s="414">
        <v>6000</v>
      </c>
      <c r="C216" s="131">
        <v>1.92</v>
      </c>
      <c r="D216" s="131">
        <v>2.21</v>
      </c>
      <c r="E216" s="131">
        <v>2.5</v>
      </c>
      <c r="F216" s="131">
        <v>2.5</v>
      </c>
      <c r="G216" s="131">
        <v>2.79</v>
      </c>
      <c r="H216" s="131">
        <v>2.79</v>
      </c>
      <c r="I216" s="131">
        <v>2.79</v>
      </c>
      <c r="J216" s="131">
        <v>3.08</v>
      </c>
      <c r="K216" s="131">
        <v>3.08</v>
      </c>
      <c r="L216" s="131">
        <v>3.08</v>
      </c>
      <c r="M216" s="415">
        <v>3.08</v>
      </c>
      <c r="P216" s="365" t="s">
        <v>185</v>
      </c>
      <c r="Q216" s="369">
        <f>HESAP!C70</f>
        <v>0</v>
      </c>
      <c r="R216" s="370" t="s">
        <v>172</v>
      </c>
      <c r="S216" s="47"/>
      <c r="T216" s="351">
        <f>Q217*V200</f>
        <v>0</v>
      </c>
      <c r="U216" s="47"/>
      <c r="V216" s="47"/>
      <c r="W216" s="47"/>
      <c r="X216" s="47"/>
      <c r="Y216" s="47"/>
      <c r="Z216" s="47"/>
      <c r="AA216" s="51"/>
    </row>
    <row r="217" spans="2:27" ht="14.25" thickBot="1">
      <c r="B217" s="414">
        <v>7000</v>
      </c>
      <c r="C217" s="131">
        <v>1.84</v>
      </c>
      <c r="D217" s="131">
        <v>2.11</v>
      </c>
      <c r="E217" s="131">
        <v>2.38</v>
      </c>
      <c r="F217" s="131">
        <v>2.38</v>
      </c>
      <c r="G217" s="131">
        <v>2.66</v>
      </c>
      <c r="H217" s="131">
        <v>2.66</v>
      </c>
      <c r="I217" s="131">
        <v>2.66</v>
      </c>
      <c r="J217" s="131">
        <v>2.92</v>
      </c>
      <c r="K217" s="131">
        <v>2.92</v>
      </c>
      <c r="L217" s="131">
        <v>2.92</v>
      </c>
      <c r="M217" s="415">
        <v>2.92</v>
      </c>
      <c r="P217" s="368" t="s">
        <v>184</v>
      </c>
      <c r="Q217" s="373">
        <f>HESAP!C71</f>
        <v>1</v>
      </c>
      <c r="R217" s="374" t="s">
        <v>172</v>
      </c>
      <c r="S217" s="73"/>
      <c r="T217" s="73"/>
      <c r="U217" s="73"/>
      <c r="V217" s="73"/>
      <c r="W217" s="73"/>
      <c r="X217" s="73"/>
      <c r="Y217" s="73"/>
      <c r="Z217" s="73"/>
      <c r="AA217" s="74"/>
    </row>
    <row r="218" spans="2:27" ht="13.5">
      <c r="B218" s="414">
        <v>8000</v>
      </c>
      <c r="C218" s="131">
        <v>1.77</v>
      </c>
      <c r="D218" s="131">
        <v>2.03</v>
      </c>
      <c r="E218" s="131">
        <v>2.28</v>
      </c>
      <c r="F218" s="131">
        <v>2.28</v>
      </c>
      <c r="G218" s="131">
        <v>2.54</v>
      </c>
      <c r="H218" s="131">
        <v>2.54</v>
      </c>
      <c r="I218" s="131">
        <v>2.54</v>
      </c>
      <c r="J218" s="131">
        <v>2.79</v>
      </c>
      <c r="K218" s="131">
        <v>2.79</v>
      </c>
      <c r="L218" s="131">
        <v>2.79</v>
      </c>
      <c r="M218" s="415">
        <v>2.79</v>
      </c>
      <c r="P218" s="44"/>
      <c r="Q218" s="44"/>
      <c r="R218" s="44"/>
      <c r="S218" s="44"/>
      <c r="T218" s="44"/>
      <c r="U218" s="44"/>
      <c r="V218" s="44"/>
      <c r="W218" s="44"/>
      <c r="X218" s="44"/>
      <c r="Y218" s="44"/>
      <c r="Z218" s="44"/>
      <c r="AA218" s="44"/>
    </row>
    <row r="219" spans="2:27" ht="13.5">
      <c r="B219" s="414">
        <v>9000</v>
      </c>
      <c r="C219" s="131">
        <v>1.73</v>
      </c>
      <c r="D219" s="131">
        <v>1.97</v>
      </c>
      <c r="E219" s="131">
        <v>2.21</v>
      </c>
      <c r="F219" s="131">
        <v>2.21</v>
      </c>
      <c r="G219" s="131">
        <v>2.46</v>
      </c>
      <c r="H219" s="131">
        <v>2.46</v>
      </c>
      <c r="I219" s="131">
        <v>2.46</v>
      </c>
      <c r="J219" s="131">
        <v>2.7</v>
      </c>
      <c r="K219" s="131">
        <v>2.7</v>
      </c>
      <c r="L219" s="131">
        <v>2.7</v>
      </c>
      <c r="M219" s="415">
        <v>2.7</v>
      </c>
      <c r="O219" s="192"/>
      <c r="P219" s="192"/>
      <c r="Q219" s="192"/>
      <c r="R219" s="192"/>
      <c r="S219" s="38"/>
      <c r="T219" s="44"/>
      <c r="U219" s="44"/>
      <c r="V219" s="44"/>
      <c r="W219" s="44"/>
      <c r="X219" s="44"/>
      <c r="Y219" s="44"/>
      <c r="Z219" s="44"/>
      <c r="AA219" s="44"/>
    </row>
    <row r="220" spans="2:27" ht="13.5">
      <c r="B220" s="414">
        <v>10000</v>
      </c>
      <c r="C220" s="131">
        <v>1.69</v>
      </c>
      <c r="D220" s="131">
        <v>1.91</v>
      </c>
      <c r="E220" s="131">
        <v>2.15</v>
      </c>
      <c r="F220" s="131">
        <v>2.15</v>
      </c>
      <c r="G220" s="131">
        <v>2.33</v>
      </c>
      <c r="H220" s="131">
        <v>2.33</v>
      </c>
      <c r="I220" s="131">
        <v>2.33</v>
      </c>
      <c r="J220" s="131">
        <v>2.61</v>
      </c>
      <c r="K220" s="131">
        <v>2.61</v>
      </c>
      <c r="L220" s="131">
        <v>2.61</v>
      </c>
      <c r="M220" s="415">
        <v>2.61</v>
      </c>
      <c r="O220" s="192"/>
      <c r="P220" s="192"/>
      <c r="Q220" s="192"/>
      <c r="R220" s="192"/>
      <c r="S220" s="38"/>
      <c r="T220" s="44"/>
      <c r="U220" s="44"/>
      <c r="V220" s="44"/>
      <c r="W220" s="44"/>
      <c r="X220" s="44"/>
      <c r="Y220" s="44"/>
      <c r="Z220" s="44"/>
      <c r="AA220" s="44"/>
    </row>
    <row r="221" spans="2:27" ht="13.5">
      <c r="B221" s="414">
        <v>12500</v>
      </c>
      <c r="C221" s="131">
        <v>1.57</v>
      </c>
      <c r="D221" s="131">
        <v>1.79</v>
      </c>
      <c r="E221" s="131">
        <v>2</v>
      </c>
      <c r="F221" s="131">
        <v>2</v>
      </c>
      <c r="G221" s="131">
        <v>2.21</v>
      </c>
      <c r="H221" s="131">
        <v>2.21</v>
      </c>
      <c r="I221" s="131">
        <v>2.21</v>
      </c>
      <c r="J221" s="131">
        <v>2.42</v>
      </c>
      <c r="K221" s="131">
        <v>2.42</v>
      </c>
      <c r="L221" s="131">
        <v>2.42</v>
      </c>
      <c r="M221" s="415">
        <v>2.42</v>
      </c>
      <c r="O221" s="192"/>
      <c r="P221" s="192"/>
      <c r="Q221" s="192"/>
      <c r="R221" s="192"/>
      <c r="S221" s="38"/>
      <c r="T221" s="44"/>
      <c r="U221" s="44"/>
      <c r="V221" s="44"/>
      <c r="W221" s="44"/>
      <c r="X221" s="44"/>
      <c r="Y221" s="44"/>
      <c r="Z221" s="44"/>
      <c r="AA221" s="44"/>
    </row>
    <row r="222" spans="2:27" ht="13.5">
      <c r="B222" s="414">
        <v>15000</v>
      </c>
      <c r="C222" s="131">
        <v>1.49</v>
      </c>
      <c r="D222" s="131">
        <v>1.68</v>
      </c>
      <c r="E222" s="131">
        <v>1.87</v>
      </c>
      <c r="F222" s="131">
        <v>1.87</v>
      </c>
      <c r="G222" s="131">
        <v>2.07</v>
      </c>
      <c r="H222" s="131">
        <v>2.07</v>
      </c>
      <c r="I222" s="131">
        <v>2.07</v>
      </c>
      <c r="J222" s="131">
        <v>2.27</v>
      </c>
      <c r="K222" s="131">
        <v>2.27</v>
      </c>
      <c r="L222" s="131">
        <v>2.27</v>
      </c>
      <c r="M222" s="415">
        <v>2.27</v>
      </c>
      <c r="O222" s="192"/>
      <c r="P222" s="192"/>
      <c r="Q222" s="192"/>
      <c r="R222" s="192"/>
      <c r="S222" s="38"/>
      <c r="T222" s="44"/>
      <c r="U222" s="44"/>
      <c r="V222" s="44"/>
      <c r="W222" s="44"/>
      <c r="X222" s="44"/>
      <c r="Y222" s="44"/>
      <c r="Z222" s="44"/>
      <c r="AA222" s="44"/>
    </row>
    <row r="223" spans="2:15" ht="13.5">
      <c r="B223" s="414">
        <v>17500</v>
      </c>
      <c r="C223" s="131">
        <v>1.41</v>
      </c>
      <c r="D223" s="131">
        <v>1.58</v>
      </c>
      <c r="E223" s="131">
        <v>1.76</v>
      </c>
      <c r="F223" s="131">
        <v>1.76</v>
      </c>
      <c r="G223" s="131">
        <v>1.94</v>
      </c>
      <c r="H223" s="131">
        <v>1.94</v>
      </c>
      <c r="I223" s="131">
        <v>1.94</v>
      </c>
      <c r="J223" s="131">
        <v>2.12</v>
      </c>
      <c r="K223" s="131">
        <v>2.12</v>
      </c>
      <c r="L223" s="131">
        <v>2.12</v>
      </c>
      <c r="M223" s="415">
        <v>2.12</v>
      </c>
      <c r="O223" s="192"/>
    </row>
    <row r="224" spans="2:15" ht="13.5">
      <c r="B224" s="414">
        <v>20000</v>
      </c>
      <c r="C224" s="131">
        <v>1.34</v>
      </c>
      <c r="D224" s="131">
        <v>1.51</v>
      </c>
      <c r="E224" s="131">
        <v>1.67</v>
      </c>
      <c r="F224" s="131">
        <v>1.67</v>
      </c>
      <c r="G224" s="131">
        <v>1.84</v>
      </c>
      <c r="H224" s="131">
        <v>1.84</v>
      </c>
      <c r="I224" s="131">
        <v>1.84</v>
      </c>
      <c r="J224" s="131">
        <v>2</v>
      </c>
      <c r="K224" s="131">
        <v>2</v>
      </c>
      <c r="L224" s="131">
        <v>2</v>
      </c>
      <c r="M224" s="415">
        <v>2</v>
      </c>
      <c r="O224" s="192"/>
    </row>
    <row r="225" spans="2:15" ht="13.5">
      <c r="B225" s="414">
        <v>22500</v>
      </c>
      <c r="C225" s="131">
        <v>1.28</v>
      </c>
      <c r="D225" s="131">
        <v>1.43</v>
      </c>
      <c r="E225" s="131">
        <v>1.57</v>
      </c>
      <c r="F225" s="131">
        <v>1.57</v>
      </c>
      <c r="G225" s="131">
        <v>1.73</v>
      </c>
      <c r="H225" s="131">
        <v>1.73</v>
      </c>
      <c r="I225" s="131">
        <v>1.73</v>
      </c>
      <c r="J225" s="131">
        <v>1.88</v>
      </c>
      <c r="K225" s="131">
        <v>1.88</v>
      </c>
      <c r="L225" s="131">
        <v>1.88</v>
      </c>
      <c r="M225" s="415">
        <v>1.88</v>
      </c>
      <c r="O225" s="192"/>
    </row>
    <row r="226" spans="2:15" ht="13.5">
      <c r="B226" s="414">
        <v>25000</v>
      </c>
      <c r="C226" s="131">
        <v>1.22</v>
      </c>
      <c r="D226" s="131">
        <v>1.35</v>
      </c>
      <c r="E226" s="131">
        <v>1.5</v>
      </c>
      <c r="F226" s="131">
        <v>1.5</v>
      </c>
      <c r="G226" s="131">
        <v>1.64</v>
      </c>
      <c r="H226" s="131">
        <v>1.64</v>
      </c>
      <c r="I226" s="131">
        <v>1.64</v>
      </c>
      <c r="J226" s="131">
        <v>1.79</v>
      </c>
      <c r="K226" s="131">
        <v>1.79</v>
      </c>
      <c r="L226" s="131">
        <v>1.79</v>
      </c>
      <c r="M226" s="415">
        <v>1.79</v>
      </c>
      <c r="O226" s="192"/>
    </row>
    <row r="227" spans="2:15" ht="13.5">
      <c r="B227" s="414">
        <v>27500</v>
      </c>
      <c r="C227" s="131">
        <v>1.16</v>
      </c>
      <c r="D227" s="131">
        <v>1.29</v>
      </c>
      <c r="E227" s="131">
        <v>1.42</v>
      </c>
      <c r="F227" s="131">
        <v>1.42</v>
      </c>
      <c r="G227" s="131">
        <v>1.55</v>
      </c>
      <c r="H227" s="131">
        <v>1.55</v>
      </c>
      <c r="I227" s="131">
        <v>1.55</v>
      </c>
      <c r="J227" s="131">
        <v>1.68</v>
      </c>
      <c r="K227" s="131">
        <v>1.68</v>
      </c>
      <c r="L227" s="131">
        <v>1.68</v>
      </c>
      <c r="M227" s="415">
        <v>1.68</v>
      </c>
      <c r="O227" s="192"/>
    </row>
    <row r="228" spans="2:15" ht="13.5">
      <c r="B228" s="414">
        <v>30000</v>
      </c>
      <c r="C228" s="131">
        <v>1.1</v>
      </c>
      <c r="D228" s="131">
        <v>1.22</v>
      </c>
      <c r="E228" s="131">
        <v>1.35</v>
      </c>
      <c r="F228" s="131">
        <v>1.35</v>
      </c>
      <c r="G228" s="131">
        <v>1.47</v>
      </c>
      <c r="H228" s="131">
        <v>1.47</v>
      </c>
      <c r="I228" s="131">
        <v>1.47</v>
      </c>
      <c r="J228" s="131">
        <v>1.61</v>
      </c>
      <c r="K228" s="131">
        <v>1.61</v>
      </c>
      <c r="L228" s="131">
        <v>1.61</v>
      </c>
      <c r="M228" s="415">
        <v>1.61</v>
      </c>
      <c r="O228" s="192"/>
    </row>
    <row r="229" spans="2:15" ht="13.5">
      <c r="B229" s="414">
        <v>32500</v>
      </c>
      <c r="C229" s="131">
        <v>1.05</v>
      </c>
      <c r="D229" s="131">
        <v>1.18</v>
      </c>
      <c r="E229" s="131">
        <v>1.31</v>
      </c>
      <c r="F229" s="131">
        <v>1.31</v>
      </c>
      <c r="G229" s="131">
        <v>1.44</v>
      </c>
      <c r="H229" s="131">
        <v>1.44</v>
      </c>
      <c r="I229" s="131">
        <v>1.44</v>
      </c>
      <c r="J229" s="131">
        <v>1.57</v>
      </c>
      <c r="K229" s="131">
        <v>1.57</v>
      </c>
      <c r="L229" s="131">
        <v>1.57</v>
      </c>
      <c r="M229" s="415">
        <v>1.57</v>
      </c>
      <c r="O229" s="192"/>
    </row>
    <row r="230" spans="2:15" ht="13.5">
      <c r="B230" s="414">
        <v>35000</v>
      </c>
      <c r="C230" s="131">
        <v>1.01</v>
      </c>
      <c r="D230" s="131">
        <v>1.14</v>
      </c>
      <c r="E230" s="131">
        <v>1.26</v>
      </c>
      <c r="F230" s="131">
        <v>1.26</v>
      </c>
      <c r="G230" s="131">
        <v>1.39</v>
      </c>
      <c r="H230" s="131">
        <v>1.39</v>
      </c>
      <c r="I230" s="131">
        <v>1.39</v>
      </c>
      <c r="J230" s="131">
        <v>1.51</v>
      </c>
      <c r="K230" s="131">
        <v>1.51</v>
      </c>
      <c r="L230" s="131">
        <v>1.51</v>
      </c>
      <c r="M230" s="415">
        <v>1.51</v>
      </c>
      <c r="O230" s="192"/>
    </row>
    <row r="231" spans="2:15" ht="13.5">
      <c r="B231" s="414">
        <v>37500</v>
      </c>
      <c r="C231" s="131">
        <v>0.98</v>
      </c>
      <c r="D231" s="131">
        <v>1.1</v>
      </c>
      <c r="E231" s="131">
        <v>1.22</v>
      </c>
      <c r="F231" s="131">
        <v>1.22</v>
      </c>
      <c r="G231" s="131">
        <v>1.34</v>
      </c>
      <c r="H231" s="131">
        <v>1.34</v>
      </c>
      <c r="I231" s="131">
        <v>1.34</v>
      </c>
      <c r="J231" s="131">
        <v>1.46</v>
      </c>
      <c r="K231" s="131">
        <v>1.46</v>
      </c>
      <c r="L231" s="131">
        <v>1.46</v>
      </c>
      <c r="M231" s="415">
        <v>1.46</v>
      </c>
      <c r="O231" s="192"/>
    </row>
    <row r="232" spans="2:15" ht="13.5">
      <c r="B232" s="414">
        <v>40000</v>
      </c>
      <c r="C232" s="131">
        <v>0.95</v>
      </c>
      <c r="D232" s="131">
        <v>1.07</v>
      </c>
      <c r="E232" s="131">
        <v>1.18</v>
      </c>
      <c r="F232" s="131">
        <v>1.18</v>
      </c>
      <c r="G232" s="131">
        <v>1.3</v>
      </c>
      <c r="H232" s="131">
        <v>1.3</v>
      </c>
      <c r="I232" s="131">
        <v>1.3</v>
      </c>
      <c r="J232" s="131">
        <v>1.41</v>
      </c>
      <c r="K232" s="131">
        <v>1.41</v>
      </c>
      <c r="L232" s="131">
        <v>1.41</v>
      </c>
      <c r="M232" s="415">
        <v>1.41</v>
      </c>
      <c r="O232" s="192"/>
    </row>
    <row r="233" spans="2:15" ht="13.5">
      <c r="B233" s="414">
        <v>42500</v>
      </c>
      <c r="C233" s="131">
        <v>0.92</v>
      </c>
      <c r="D233" s="131">
        <v>1.04</v>
      </c>
      <c r="E233" s="131">
        <v>1.15</v>
      </c>
      <c r="F233" s="131">
        <v>1.15</v>
      </c>
      <c r="G233" s="131">
        <v>1.26</v>
      </c>
      <c r="H233" s="131">
        <v>1.26</v>
      </c>
      <c r="I233" s="131">
        <v>1.26</v>
      </c>
      <c r="J233" s="131">
        <v>1.37</v>
      </c>
      <c r="K233" s="131">
        <v>1.37</v>
      </c>
      <c r="L233" s="131">
        <v>1.37</v>
      </c>
      <c r="M233" s="415">
        <v>1.37</v>
      </c>
      <c r="O233" s="192"/>
    </row>
    <row r="234" spans="2:15" ht="13.5">
      <c r="B234" s="414">
        <v>45000</v>
      </c>
      <c r="C234" s="131">
        <v>0.89</v>
      </c>
      <c r="D234" s="131">
        <v>1.01</v>
      </c>
      <c r="E234" s="131">
        <v>1.11</v>
      </c>
      <c r="F234" s="131">
        <v>1.11</v>
      </c>
      <c r="G234" s="131">
        <v>1.23</v>
      </c>
      <c r="H234" s="131">
        <v>1.23</v>
      </c>
      <c r="I234" s="131">
        <v>1.23</v>
      </c>
      <c r="J234" s="131">
        <v>1.33</v>
      </c>
      <c r="K234" s="131">
        <v>1.33</v>
      </c>
      <c r="L234" s="131">
        <v>1.33</v>
      </c>
      <c r="M234" s="415">
        <v>1.33</v>
      </c>
      <c r="O234" s="192"/>
    </row>
    <row r="235" spans="2:19" ht="13.5">
      <c r="B235" s="414">
        <v>47500</v>
      </c>
      <c r="C235" s="131">
        <v>0.87</v>
      </c>
      <c r="D235" s="131">
        <v>0.98</v>
      </c>
      <c r="E235" s="131">
        <v>1.08</v>
      </c>
      <c r="F235" s="131">
        <v>1.08</v>
      </c>
      <c r="G235" s="131">
        <v>1.19</v>
      </c>
      <c r="H235" s="131">
        <v>1.19</v>
      </c>
      <c r="I235" s="131">
        <v>1.19</v>
      </c>
      <c r="J235" s="131">
        <v>1.3</v>
      </c>
      <c r="K235" s="131">
        <v>1.3</v>
      </c>
      <c r="L235" s="131">
        <v>1.3</v>
      </c>
      <c r="M235" s="415">
        <v>1.3</v>
      </c>
      <c r="O235" s="192"/>
      <c r="P235" s="47"/>
      <c r="Q235" s="47"/>
      <c r="R235" s="47"/>
      <c r="S235" s="47"/>
    </row>
    <row r="236" spans="2:15" ht="13.5">
      <c r="B236" s="414">
        <v>50000</v>
      </c>
      <c r="C236" s="131">
        <v>0.85</v>
      </c>
      <c r="D236" s="131">
        <v>0.96</v>
      </c>
      <c r="E236" s="131">
        <v>1.05</v>
      </c>
      <c r="F236" s="131">
        <v>1.05</v>
      </c>
      <c r="G236" s="131">
        <v>1.16</v>
      </c>
      <c r="H236" s="131">
        <v>1.16</v>
      </c>
      <c r="I236" s="131">
        <v>1.16</v>
      </c>
      <c r="J236" s="131">
        <v>1.26</v>
      </c>
      <c r="K236" s="131">
        <v>1.26</v>
      </c>
      <c r="L236" s="131">
        <v>1.26</v>
      </c>
      <c r="M236" s="415">
        <v>1.26</v>
      </c>
      <c r="O236" s="192"/>
    </row>
    <row r="237" spans="2:15" ht="13.5">
      <c r="B237" s="414">
        <v>55000</v>
      </c>
      <c r="C237" s="131">
        <v>0.81</v>
      </c>
      <c r="D237" s="131">
        <v>0.91</v>
      </c>
      <c r="E237" s="131">
        <v>1</v>
      </c>
      <c r="F237" s="131">
        <v>1</v>
      </c>
      <c r="G237" s="131">
        <v>1.11</v>
      </c>
      <c r="H237" s="131">
        <v>1.11</v>
      </c>
      <c r="I237" s="131">
        <v>1.11</v>
      </c>
      <c r="J237" s="131">
        <v>1.2</v>
      </c>
      <c r="K237" s="131">
        <v>1.2</v>
      </c>
      <c r="L237" s="131">
        <v>1.2</v>
      </c>
      <c r="M237" s="415">
        <v>1.2</v>
      </c>
      <c r="O237" s="192"/>
    </row>
    <row r="238" spans="2:15" ht="13.5">
      <c r="B238" s="414">
        <v>60000</v>
      </c>
      <c r="C238" s="131">
        <v>0.77</v>
      </c>
      <c r="D238" s="131">
        <v>0.87</v>
      </c>
      <c r="E238" s="131">
        <v>0.96</v>
      </c>
      <c r="F238" s="131">
        <v>0.96</v>
      </c>
      <c r="G238" s="131">
        <v>1.06</v>
      </c>
      <c r="H238" s="131">
        <v>1.06</v>
      </c>
      <c r="I238" s="131">
        <v>1.06</v>
      </c>
      <c r="J238" s="131">
        <v>1.15</v>
      </c>
      <c r="K238" s="131">
        <v>1.15</v>
      </c>
      <c r="L238" s="131">
        <v>1.15</v>
      </c>
      <c r="M238" s="415">
        <v>1.15</v>
      </c>
      <c r="O238" s="192"/>
    </row>
    <row r="239" spans="2:15" ht="13.5">
      <c r="B239" s="414">
        <v>65000</v>
      </c>
      <c r="C239" s="131">
        <v>0.74</v>
      </c>
      <c r="D239" s="131">
        <v>0.84</v>
      </c>
      <c r="E239" s="131">
        <v>0.93</v>
      </c>
      <c r="F239" s="131">
        <v>0.93</v>
      </c>
      <c r="G239" s="131">
        <v>1.02</v>
      </c>
      <c r="H239" s="131">
        <v>1.02</v>
      </c>
      <c r="I239" s="131">
        <v>1.02</v>
      </c>
      <c r="J239" s="131">
        <v>1.11</v>
      </c>
      <c r="K239" s="131">
        <v>1.11</v>
      </c>
      <c r="L239" s="131">
        <v>1.11</v>
      </c>
      <c r="M239" s="415">
        <v>1.11</v>
      </c>
      <c r="O239" s="30"/>
    </row>
    <row r="240" spans="2:15" ht="13.5">
      <c r="B240" s="414">
        <v>70000</v>
      </c>
      <c r="C240" s="131">
        <v>0.72</v>
      </c>
      <c r="D240" s="131">
        <v>0.81</v>
      </c>
      <c r="E240" s="131">
        <v>0.89</v>
      </c>
      <c r="F240" s="131">
        <v>0.89</v>
      </c>
      <c r="G240" s="131">
        <v>0.98</v>
      </c>
      <c r="H240" s="131">
        <v>0.98</v>
      </c>
      <c r="I240" s="131">
        <v>0.98</v>
      </c>
      <c r="J240" s="131">
        <v>1.07</v>
      </c>
      <c r="K240" s="131">
        <v>1.07</v>
      </c>
      <c r="L240" s="131">
        <v>1.07</v>
      </c>
      <c r="M240" s="415">
        <v>1.07</v>
      </c>
      <c r="O240" s="30"/>
    </row>
    <row r="241" spans="2:15" ht="13.5">
      <c r="B241" s="414">
        <v>75000</v>
      </c>
      <c r="C241" s="131">
        <v>0.69</v>
      </c>
      <c r="D241" s="131">
        <v>0.78</v>
      </c>
      <c r="E241" s="131">
        <v>0.86</v>
      </c>
      <c r="F241" s="131">
        <v>0.86</v>
      </c>
      <c r="G241" s="131">
        <v>0.95</v>
      </c>
      <c r="H241" s="131">
        <v>0.95</v>
      </c>
      <c r="I241" s="131">
        <v>0.95</v>
      </c>
      <c r="J241" s="131">
        <v>1.03</v>
      </c>
      <c r="K241" s="131">
        <v>1.03</v>
      </c>
      <c r="L241" s="131">
        <v>1.03</v>
      </c>
      <c r="M241" s="415">
        <v>1.03</v>
      </c>
      <c r="O241" s="29"/>
    </row>
    <row r="242" spans="2:27" ht="13.5">
      <c r="B242" s="417">
        <v>80000</v>
      </c>
      <c r="C242" s="134">
        <v>0.67</v>
      </c>
      <c r="D242" s="134">
        <v>0.75</v>
      </c>
      <c r="E242" s="134">
        <v>0.83</v>
      </c>
      <c r="F242" s="134">
        <v>0.83</v>
      </c>
      <c r="G242" s="134">
        <v>0.92</v>
      </c>
      <c r="H242" s="134">
        <v>0.92</v>
      </c>
      <c r="I242" s="134">
        <v>0.92</v>
      </c>
      <c r="J242" s="134">
        <v>1</v>
      </c>
      <c r="K242" s="134">
        <v>1</v>
      </c>
      <c r="L242" s="134">
        <v>1</v>
      </c>
      <c r="M242" s="418">
        <v>1</v>
      </c>
      <c r="O242" s="29"/>
      <c r="P242" s="44"/>
      <c r="Q242" s="44"/>
      <c r="R242" s="44"/>
      <c r="S242" s="44"/>
      <c r="T242" s="44"/>
      <c r="U242" s="44"/>
      <c r="V242" s="44"/>
      <c r="W242" s="44"/>
      <c r="X242" s="44"/>
      <c r="Y242" s="44"/>
      <c r="Z242" s="44"/>
      <c r="AA242" s="44"/>
    </row>
    <row r="243" spans="2:27" ht="14.25" thickBot="1">
      <c r="B243" s="419" t="s">
        <v>42</v>
      </c>
      <c r="C243" s="94">
        <v>1</v>
      </c>
      <c r="D243" s="94">
        <v>2</v>
      </c>
      <c r="E243" s="94" t="s">
        <v>18</v>
      </c>
      <c r="F243" s="94" t="s">
        <v>19</v>
      </c>
      <c r="G243" s="94" t="s">
        <v>20</v>
      </c>
      <c r="H243" s="94" t="s">
        <v>21</v>
      </c>
      <c r="I243" s="94" t="s">
        <v>22</v>
      </c>
      <c r="J243" s="94" t="s">
        <v>23</v>
      </c>
      <c r="K243" s="94" t="s">
        <v>24</v>
      </c>
      <c r="L243" s="94" t="s">
        <v>25</v>
      </c>
      <c r="M243" s="420" t="s">
        <v>26</v>
      </c>
      <c r="O243" s="29"/>
      <c r="AA243" s="44"/>
    </row>
    <row r="244" spans="2:27" ht="13.5">
      <c r="B244" s="44"/>
      <c r="C244" s="44"/>
      <c r="D244" s="44"/>
      <c r="E244" s="44"/>
      <c r="F244" s="44"/>
      <c r="G244" s="44"/>
      <c r="H244" s="44"/>
      <c r="I244" s="44"/>
      <c r="J244" s="44"/>
      <c r="K244" s="44"/>
      <c r="L244" s="44"/>
      <c r="M244" s="44"/>
      <c r="O244" s="29"/>
      <c r="AA244" s="44"/>
    </row>
    <row r="245" spans="2:27" ht="13.5">
      <c r="B245" s="44"/>
      <c r="C245" s="44"/>
      <c r="D245" s="44"/>
      <c r="E245" s="44"/>
      <c r="F245" s="44"/>
      <c r="G245" s="44"/>
      <c r="H245" s="44"/>
      <c r="I245" s="44"/>
      <c r="J245" s="44"/>
      <c r="K245" s="44"/>
      <c r="L245" s="44"/>
      <c r="M245" s="44"/>
      <c r="O245" s="29"/>
      <c r="AA245" s="44"/>
    </row>
    <row r="246" spans="2:27" ht="13.5">
      <c r="B246" s="44"/>
      <c r="C246" s="44"/>
      <c r="D246" s="44"/>
      <c r="E246" s="44"/>
      <c r="F246" s="44"/>
      <c r="G246" s="44"/>
      <c r="H246" s="44"/>
      <c r="I246" s="44"/>
      <c r="J246" s="44"/>
      <c r="K246" s="44"/>
      <c r="L246" s="44"/>
      <c r="M246" s="44"/>
      <c r="O246" s="29"/>
      <c r="AA246" s="44"/>
    </row>
    <row r="247" spans="2:27" ht="13.5">
      <c r="B247" s="44"/>
      <c r="C247" s="44"/>
      <c r="D247" s="44"/>
      <c r="E247" s="44"/>
      <c r="F247" s="44"/>
      <c r="G247" s="44"/>
      <c r="H247" s="44"/>
      <c r="I247" s="44"/>
      <c r="J247" s="44"/>
      <c r="K247" s="44"/>
      <c r="L247" s="44"/>
      <c r="M247" s="44"/>
      <c r="O247" s="29"/>
      <c r="AA247" s="44"/>
    </row>
    <row r="248" spans="2:27" ht="13.5">
      <c r="B248" s="44"/>
      <c r="C248" s="44"/>
      <c r="D248" s="44"/>
      <c r="E248" s="44"/>
      <c r="F248" s="44"/>
      <c r="G248" s="44"/>
      <c r="H248" s="44"/>
      <c r="I248" s="44"/>
      <c r="J248" s="44"/>
      <c r="K248" s="44"/>
      <c r="L248" s="44"/>
      <c r="M248" s="44"/>
      <c r="P248" s="44"/>
      <c r="Q248" s="44"/>
      <c r="AA248" s="44"/>
    </row>
    <row r="249" spans="2:27" ht="13.5">
      <c r="B249" s="44"/>
      <c r="C249" s="44"/>
      <c r="D249" s="44"/>
      <c r="E249" s="44"/>
      <c r="F249" s="44"/>
      <c r="G249" s="44"/>
      <c r="H249" s="44"/>
      <c r="I249" s="44"/>
      <c r="J249" s="44"/>
      <c r="K249" s="44"/>
      <c r="L249" s="44"/>
      <c r="M249" s="44"/>
      <c r="P249" s="44"/>
      <c r="Q249" s="44"/>
      <c r="AA249" s="44"/>
    </row>
    <row r="250" spans="2:27" ht="13.5">
      <c r="B250" s="44"/>
      <c r="C250" s="44"/>
      <c r="D250" s="44"/>
      <c r="E250" s="44"/>
      <c r="F250" s="44"/>
      <c r="G250" s="44"/>
      <c r="H250" s="44"/>
      <c r="I250" s="44"/>
      <c r="J250" s="44"/>
      <c r="K250" s="44"/>
      <c r="L250" s="44"/>
      <c r="M250" s="44"/>
      <c r="P250" s="44"/>
      <c r="Q250" s="44"/>
      <c r="AA250" s="44"/>
    </row>
    <row r="251" spans="2:27" ht="13.5">
      <c r="B251" s="44"/>
      <c r="C251" s="44"/>
      <c r="D251" s="44"/>
      <c r="E251" s="44"/>
      <c r="F251" s="44"/>
      <c r="G251" s="44"/>
      <c r="H251" s="44"/>
      <c r="I251" s="44"/>
      <c r="J251" s="44"/>
      <c r="K251" s="44"/>
      <c r="L251" s="44"/>
      <c r="M251" s="44"/>
      <c r="P251" s="44"/>
      <c r="Q251" s="44"/>
      <c r="AA251" s="44"/>
    </row>
    <row r="252" spans="2:27" ht="13.5">
      <c r="B252" s="44"/>
      <c r="C252" s="44"/>
      <c r="D252" s="44"/>
      <c r="E252" s="44"/>
      <c r="F252" s="44"/>
      <c r="G252" s="44"/>
      <c r="H252" s="44"/>
      <c r="I252" s="44"/>
      <c r="J252" s="44"/>
      <c r="K252" s="44"/>
      <c r="L252" s="44"/>
      <c r="M252" s="44"/>
      <c r="P252" s="44"/>
      <c r="Q252" s="44"/>
      <c r="AA252" s="44"/>
    </row>
    <row r="253" spans="2:27" ht="13.5">
      <c r="B253" s="44"/>
      <c r="C253" s="44"/>
      <c r="D253" s="44"/>
      <c r="E253" s="44"/>
      <c r="F253" s="44"/>
      <c r="G253" s="44"/>
      <c r="H253" s="44"/>
      <c r="I253" s="44"/>
      <c r="J253" s="44"/>
      <c r="K253" s="44"/>
      <c r="L253" s="44"/>
      <c r="M253" s="44"/>
      <c r="P253" s="44"/>
      <c r="Q253" s="44"/>
      <c r="AA253" s="44"/>
    </row>
    <row r="254" spans="2:27" ht="13.5">
      <c r="B254" s="44"/>
      <c r="C254" s="44"/>
      <c r="D254" s="44"/>
      <c r="E254" s="44"/>
      <c r="F254" s="44"/>
      <c r="G254" s="44"/>
      <c r="H254" s="44"/>
      <c r="I254" s="44"/>
      <c r="J254" s="44"/>
      <c r="K254" s="44"/>
      <c r="L254" s="44"/>
      <c r="M254" s="44"/>
      <c r="P254" s="44"/>
      <c r="Q254" s="44"/>
      <c r="AA254" s="44"/>
    </row>
    <row r="255" spans="2:27" ht="13.5">
      <c r="B255" s="44"/>
      <c r="C255" s="44"/>
      <c r="D255" s="44"/>
      <c r="E255" s="44"/>
      <c r="F255" s="44"/>
      <c r="G255" s="44"/>
      <c r="H255" s="44"/>
      <c r="I255" s="44"/>
      <c r="J255" s="44"/>
      <c r="K255" s="44"/>
      <c r="L255" s="44"/>
      <c r="M255" s="44"/>
      <c r="P255" s="44"/>
      <c r="Q255" s="44"/>
      <c r="AA255" s="44"/>
    </row>
    <row r="256" spans="2:27" ht="13.5">
      <c r="B256" s="44"/>
      <c r="C256" s="44"/>
      <c r="D256" s="44"/>
      <c r="E256" s="44"/>
      <c r="F256" s="44"/>
      <c r="G256" s="44"/>
      <c r="H256" s="44"/>
      <c r="I256" s="44"/>
      <c r="J256" s="44"/>
      <c r="K256" s="44"/>
      <c r="L256" s="44"/>
      <c r="M256" s="44"/>
      <c r="P256" s="44"/>
      <c r="Q256" s="44"/>
      <c r="AA256" s="44"/>
    </row>
    <row r="257" spans="2:27" ht="13.5">
      <c r="B257" s="44"/>
      <c r="C257" s="44"/>
      <c r="D257" s="44"/>
      <c r="E257" s="44"/>
      <c r="F257" s="44"/>
      <c r="G257" s="44"/>
      <c r="H257" s="44"/>
      <c r="I257" s="44"/>
      <c r="J257" s="44"/>
      <c r="K257" s="44"/>
      <c r="L257" s="44"/>
      <c r="M257" s="44"/>
      <c r="P257" s="44"/>
      <c r="Q257" s="44"/>
      <c r="AA257" s="44"/>
    </row>
    <row r="258" spans="2:27" ht="13.5">
      <c r="B258" s="44"/>
      <c r="C258" s="44"/>
      <c r="D258" s="44"/>
      <c r="E258" s="44"/>
      <c r="F258" s="44"/>
      <c r="G258" s="44"/>
      <c r="H258" s="44"/>
      <c r="I258" s="44"/>
      <c r="J258" s="44"/>
      <c r="K258" s="44"/>
      <c r="L258" s="44"/>
      <c r="M258" s="44"/>
      <c r="P258" s="44"/>
      <c r="Q258" s="44"/>
      <c r="AA258" s="44"/>
    </row>
    <row r="259" spans="2:27" ht="13.5">
      <c r="B259" s="44"/>
      <c r="C259" s="44"/>
      <c r="D259" s="44"/>
      <c r="E259" s="44"/>
      <c r="F259" s="44"/>
      <c r="G259" s="44"/>
      <c r="H259" s="44"/>
      <c r="I259" s="44"/>
      <c r="J259" s="44"/>
      <c r="K259" s="44"/>
      <c r="L259" s="44"/>
      <c r="M259" s="44"/>
      <c r="P259" s="44"/>
      <c r="Q259" s="44"/>
      <c r="AA259" s="44"/>
    </row>
    <row r="260" spans="2:27" ht="13.5">
      <c r="B260" s="44"/>
      <c r="C260" s="44"/>
      <c r="D260" s="44"/>
      <c r="E260" s="44"/>
      <c r="F260" s="44"/>
      <c r="G260" s="44"/>
      <c r="H260" s="44"/>
      <c r="I260" s="44"/>
      <c r="J260" s="44"/>
      <c r="K260" s="44"/>
      <c r="L260" s="44"/>
      <c r="M260" s="44"/>
      <c r="P260" s="44"/>
      <c r="Q260" s="44"/>
      <c r="AA260" s="44"/>
    </row>
    <row r="261" spans="2:27" ht="13.5">
      <c r="B261" s="44"/>
      <c r="C261" s="44"/>
      <c r="D261" s="44"/>
      <c r="E261" s="44"/>
      <c r="F261" s="44"/>
      <c r="G261" s="44"/>
      <c r="H261" s="44"/>
      <c r="I261" s="44"/>
      <c r="J261" s="44"/>
      <c r="K261" s="44"/>
      <c r="L261" s="44"/>
      <c r="M261" s="44"/>
      <c r="P261" s="44"/>
      <c r="Q261" s="44"/>
      <c r="AA261" s="44"/>
    </row>
    <row r="262" spans="2:27" ht="13.5">
      <c r="B262" s="44"/>
      <c r="C262" s="44"/>
      <c r="D262" s="44"/>
      <c r="E262" s="44"/>
      <c r="F262" s="44"/>
      <c r="G262" s="44"/>
      <c r="H262" s="44"/>
      <c r="I262" s="44"/>
      <c r="J262" s="44"/>
      <c r="K262" s="44"/>
      <c r="L262" s="44"/>
      <c r="M262" s="44"/>
      <c r="P262" s="44"/>
      <c r="Q262" s="44"/>
      <c r="R262" s="44"/>
      <c r="S262" s="44"/>
      <c r="T262" s="44"/>
      <c r="U262" s="44"/>
      <c r="V262" s="44"/>
      <c r="W262" s="44"/>
      <c r="X262" s="44"/>
      <c r="Y262" s="44"/>
      <c r="Z262" s="44"/>
      <c r="AA262" s="44"/>
    </row>
    <row r="263" spans="2:27" ht="13.5">
      <c r="B263" s="44"/>
      <c r="C263" s="44"/>
      <c r="D263" s="44"/>
      <c r="E263" s="44"/>
      <c r="F263" s="44"/>
      <c r="G263" s="44"/>
      <c r="H263" s="44"/>
      <c r="I263" s="44"/>
      <c r="J263" s="44"/>
      <c r="K263" s="44"/>
      <c r="L263" s="44"/>
      <c r="M263" s="44"/>
      <c r="P263" s="44"/>
      <c r="Q263" s="44"/>
      <c r="R263" s="44"/>
      <c r="S263" s="44"/>
      <c r="T263" s="44"/>
      <c r="U263" s="44"/>
      <c r="V263" s="44"/>
      <c r="W263" s="44"/>
      <c r="X263" s="44"/>
      <c r="Y263" s="44"/>
      <c r="Z263" s="44"/>
      <c r="AA263" s="44"/>
    </row>
    <row r="264" spans="2:27" ht="13.5">
      <c r="B264" s="78"/>
      <c r="C264" s="78"/>
      <c r="D264" s="78"/>
      <c r="E264" s="78"/>
      <c r="F264" s="78"/>
      <c r="G264" s="78"/>
      <c r="H264" s="126"/>
      <c r="I264" s="127"/>
      <c r="J264" s="78"/>
      <c r="K264" s="126"/>
      <c r="L264" s="153"/>
      <c r="M264" s="78"/>
      <c r="P264" s="44"/>
      <c r="Q264" s="44"/>
      <c r="R264" s="44"/>
      <c r="S264" s="44"/>
      <c r="T264" s="44"/>
      <c r="U264" s="44"/>
      <c r="V264" s="44"/>
      <c r="W264" s="44"/>
      <c r="X264" s="44"/>
      <c r="Y264" s="44"/>
      <c r="Z264" s="44"/>
      <c r="AA264" s="44"/>
    </row>
    <row r="265" spans="2:27" ht="13.5">
      <c r="B265" s="44"/>
      <c r="C265" s="44"/>
      <c r="D265" s="44"/>
      <c r="E265" s="44"/>
      <c r="F265" s="44"/>
      <c r="G265" s="44"/>
      <c r="H265" s="44"/>
      <c r="I265" s="44"/>
      <c r="J265" s="44"/>
      <c r="K265" s="44"/>
      <c r="L265" s="44"/>
      <c r="M265" s="44"/>
      <c r="P265" s="44"/>
      <c r="Q265" s="44"/>
      <c r="R265" s="44"/>
      <c r="S265" s="44"/>
      <c r="T265" s="44"/>
      <c r="U265" s="44"/>
      <c r="V265" s="44"/>
      <c r="W265" s="44"/>
      <c r="X265" s="44"/>
      <c r="Y265" s="44"/>
      <c r="Z265" s="44"/>
      <c r="AA265" s="44"/>
    </row>
    <row r="266" spans="2:27" ht="13.5">
      <c r="B266" s="44"/>
      <c r="C266" s="44"/>
      <c r="D266" s="44"/>
      <c r="E266" s="44"/>
      <c r="F266" s="44"/>
      <c r="G266" s="44"/>
      <c r="H266" s="44"/>
      <c r="I266" s="44"/>
      <c r="J266" s="44"/>
      <c r="K266" s="44"/>
      <c r="L266" s="44"/>
      <c r="M266" s="44"/>
      <c r="P266" s="44"/>
      <c r="Q266" s="44"/>
      <c r="R266" s="44"/>
      <c r="S266" s="44"/>
      <c r="T266" s="44"/>
      <c r="U266" s="44"/>
      <c r="V266" s="44"/>
      <c r="W266" s="44"/>
      <c r="X266" s="44"/>
      <c r="Y266" s="44"/>
      <c r="Z266" s="44"/>
      <c r="AA266" s="44"/>
    </row>
    <row r="267" spans="2:28" ht="13.5">
      <c r="B267" s="44"/>
      <c r="C267" s="44"/>
      <c r="D267" s="44"/>
      <c r="E267" s="44"/>
      <c r="F267" s="44"/>
      <c r="G267" s="44"/>
      <c r="H267" s="44"/>
      <c r="I267" s="44"/>
      <c r="J267" s="44"/>
      <c r="K267" s="44"/>
      <c r="L267" s="44"/>
      <c r="M267" s="44"/>
      <c r="P267" s="44"/>
      <c r="Q267" s="44"/>
      <c r="R267" s="44"/>
      <c r="S267" s="44"/>
      <c r="T267" s="44"/>
      <c r="U267" s="44"/>
      <c r="V267" s="44"/>
      <c r="W267" s="44"/>
      <c r="X267" s="44"/>
      <c r="Y267" s="44"/>
      <c r="Z267" s="44"/>
      <c r="AA267" s="44"/>
      <c r="AB267" s="47"/>
    </row>
    <row r="268" spans="2:28" ht="13.5">
      <c r="B268" s="44"/>
      <c r="C268" s="44"/>
      <c r="D268" s="44"/>
      <c r="E268" s="44"/>
      <c r="F268" s="44"/>
      <c r="G268" s="44"/>
      <c r="H268" s="44"/>
      <c r="I268" s="44"/>
      <c r="J268" s="44"/>
      <c r="K268" s="44"/>
      <c r="L268" s="44"/>
      <c r="M268" s="44"/>
      <c r="P268" s="44"/>
      <c r="Q268" s="44"/>
      <c r="R268" s="44"/>
      <c r="S268" s="44"/>
      <c r="T268" s="44"/>
      <c r="U268" s="44"/>
      <c r="V268" s="44"/>
      <c r="W268" s="44"/>
      <c r="X268" s="44"/>
      <c r="Y268" s="44"/>
      <c r="Z268" s="44"/>
      <c r="AA268" s="44"/>
      <c r="AB268" s="47"/>
    </row>
    <row r="269" spans="2:27" ht="13.5">
      <c r="B269" s="44"/>
      <c r="C269" s="44"/>
      <c r="D269" s="44"/>
      <c r="E269" s="44"/>
      <c r="F269" s="44"/>
      <c r="G269" s="44"/>
      <c r="H269" s="44"/>
      <c r="I269" s="44"/>
      <c r="J269" s="44"/>
      <c r="K269" s="44"/>
      <c r="L269" s="44"/>
      <c r="M269" s="44"/>
      <c r="P269" s="44"/>
      <c r="Q269" s="44"/>
      <c r="R269" s="44"/>
      <c r="S269" s="44"/>
      <c r="T269" s="44"/>
      <c r="U269" s="44"/>
      <c r="V269" s="44"/>
      <c r="W269" s="44"/>
      <c r="X269" s="44"/>
      <c r="Y269" s="44"/>
      <c r="Z269" s="44"/>
      <c r="AA269" s="44"/>
    </row>
    <row r="270" spans="2:27" ht="13.5">
      <c r="B270" s="44"/>
      <c r="C270" s="44"/>
      <c r="D270" s="44"/>
      <c r="E270" s="44"/>
      <c r="F270" s="44"/>
      <c r="G270" s="44"/>
      <c r="H270" s="44"/>
      <c r="I270" s="44"/>
      <c r="J270" s="44"/>
      <c r="K270" s="44"/>
      <c r="L270" s="44"/>
      <c r="M270" s="44"/>
      <c r="P270" s="44"/>
      <c r="Q270" s="44"/>
      <c r="R270" s="44"/>
      <c r="S270" s="44"/>
      <c r="T270" s="44"/>
      <c r="U270" s="44"/>
      <c r="V270" s="44"/>
      <c r="W270" s="44"/>
      <c r="X270" s="44"/>
      <c r="Y270" s="44"/>
      <c r="Z270" s="44"/>
      <c r="AA270" s="44"/>
    </row>
    <row r="271" spans="2:27" ht="13.5">
      <c r="B271" s="44"/>
      <c r="C271" s="44"/>
      <c r="D271" s="44"/>
      <c r="E271" s="44"/>
      <c r="F271" s="44"/>
      <c r="G271" s="44"/>
      <c r="H271" s="44"/>
      <c r="I271" s="44"/>
      <c r="J271" s="44"/>
      <c r="K271" s="44"/>
      <c r="L271" s="44"/>
      <c r="M271" s="44"/>
      <c r="P271" s="44"/>
      <c r="Q271" s="44"/>
      <c r="R271" s="44"/>
      <c r="S271" s="44"/>
      <c r="T271" s="44"/>
      <c r="U271" s="44"/>
      <c r="V271" s="44"/>
      <c r="W271" s="44"/>
      <c r="X271" s="44"/>
      <c r="Y271" s="44"/>
      <c r="Z271" s="44"/>
      <c r="AA271" s="44"/>
    </row>
    <row r="272" spans="2:27" ht="13.5">
      <c r="B272" s="44"/>
      <c r="C272" s="44"/>
      <c r="D272" s="44"/>
      <c r="E272" s="44"/>
      <c r="F272" s="44"/>
      <c r="G272" s="44"/>
      <c r="H272" s="44"/>
      <c r="I272" s="44"/>
      <c r="J272" s="44"/>
      <c r="K272" s="44"/>
      <c r="L272" s="44"/>
      <c r="M272" s="44"/>
      <c r="P272" s="44"/>
      <c r="Q272" s="44"/>
      <c r="R272" s="44"/>
      <c r="S272" s="44"/>
      <c r="T272" s="44"/>
      <c r="U272" s="44"/>
      <c r="V272" s="44"/>
      <c r="W272" s="44"/>
      <c r="X272" s="44"/>
      <c r="Y272" s="44"/>
      <c r="Z272" s="44"/>
      <c r="AA272" s="44"/>
    </row>
    <row r="273" spans="2:27" ht="13.5">
      <c r="B273" s="44"/>
      <c r="C273" s="44"/>
      <c r="D273" s="44"/>
      <c r="E273" s="44"/>
      <c r="F273" s="44"/>
      <c r="G273" s="44"/>
      <c r="H273" s="44"/>
      <c r="I273" s="44"/>
      <c r="J273" s="44"/>
      <c r="K273" s="44"/>
      <c r="L273" s="44"/>
      <c r="M273" s="44"/>
      <c r="P273" s="44"/>
      <c r="Q273" s="44"/>
      <c r="R273" s="44"/>
      <c r="S273" s="44"/>
      <c r="T273" s="44"/>
      <c r="U273" s="44"/>
      <c r="V273" s="44"/>
      <c r="W273" s="44"/>
      <c r="X273" s="44"/>
      <c r="Y273" s="44"/>
      <c r="Z273" s="44"/>
      <c r="AA273" s="44"/>
    </row>
    <row r="274" spans="2:27" ht="13.5">
      <c r="B274" s="44"/>
      <c r="C274" s="44"/>
      <c r="D274" s="44"/>
      <c r="E274" s="44"/>
      <c r="F274" s="44"/>
      <c r="G274" s="44"/>
      <c r="H274" s="44"/>
      <c r="I274" s="44"/>
      <c r="J274" s="44"/>
      <c r="K274" s="44"/>
      <c r="L274" s="44"/>
      <c r="M274" s="44"/>
      <c r="P274" s="44"/>
      <c r="Q274" s="44"/>
      <c r="R274" s="44"/>
      <c r="S274" s="44"/>
      <c r="T274" s="44"/>
      <c r="U274" s="44"/>
      <c r="V274" s="44"/>
      <c r="W274" s="44"/>
      <c r="X274" s="44"/>
      <c r="Y274" s="44"/>
      <c r="Z274" s="44"/>
      <c r="AA274" s="44"/>
    </row>
    <row r="275" spans="2:33" ht="13.5">
      <c r="B275" s="44"/>
      <c r="C275" s="44"/>
      <c r="D275" s="44"/>
      <c r="E275" s="44"/>
      <c r="F275" s="44"/>
      <c r="G275" s="44"/>
      <c r="H275" s="44"/>
      <c r="I275" s="44"/>
      <c r="J275" s="44"/>
      <c r="K275" s="44"/>
      <c r="L275" s="44"/>
      <c r="M275" s="44"/>
      <c r="P275" s="44"/>
      <c r="Q275" s="44"/>
      <c r="R275" s="44"/>
      <c r="S275" s="44"/>
      <c r="T275" s="44"/>
      <c r="U275" s="44"/>
      <c r="V275" s="44"/>
      <c r="W275" s="44"/>
      <c r="X275" s="44"/>
      <c r="Y275" s="44"/>
      <c r="Z275" s="44"/>
      <c r="AA275" s="44"/>
      <c r="AC275" s="34"/>
      <c r="AD275" s="35"/>
      <c r="AE275" s="36"/>
      <c r="AF275" s="36"/>
      <c r="AG275" s="37"/>
    </row>
    <row r="276" spans="2:27" ht="13.5">
      <c r="B276" s="44"/>
      <c r="C276" s="44"/>
      <c r="D276" s="44"/>
      <c r="E276" s="44"/>
      <c r="F276" s="44"/>
      <c r="G276" s="44"/>
      <c r="H276" s="44"/>
      <c r="I276" s="44"/>
      <c r="J276" s="44"/>
      <c r="K276" s="44"/>
      <c r="L276" s="44"/>
      <c r="M276" s="44"/>
      <c r="P276" s="44"/>
      <c r="Q276" s="44"/>
      <c r="R276" s="44"/>
      <c r="S276" s="44"/>
      <c r="T276" s="44"/>
      <c r="U276" s="44"/>
      <c r="V276" s="44"/>
      <c r="W276" s="44"/>
      <c r="X276" s="44"/>
      <c r="Y276" s="44"/>
      <c r="Z276" s="44"/>
      <c r="AA276" s="44"/>
    </row>
    <row r="277" spans="2:27" ht="13.5">
      <c r="B277" s="44"/>
      <c r="C277" s="44"/>
      <c r="D277" s="44"/>
      <c r="E277" s="44"/>
      <c r="F277" s="44"/>
      <c r="G277" s="44"/>
      <c r="H277" s="44"/>
      <c r="I277" s="44"/>
      <c r="J277" s="44"/>
      <c r="K277" s="44"/>
      <c r="L277" s="44"/>
      <c r="M277" s="44"/>
      <c r="P277" s="44"/>
      <c r="Q277" s="44"/>
      <c r="R277" s="44"/>
      <c r="S277" s="44"/>
      <c r="T277" s="44"/>
      <c r="U277" s="44"/>
      <c r="V277" s="44"/>
      <c r="W277" s="44"/>
      <c r="X277" s="44"/>
      <c r="Y277" s="44"/>
      <c r="Z277" s="44"/>
      <c r="AA277" s="44"/>
    </row>
    <row r="278" spans="2:13" ht="13.5">
      <c r="B278" s="44"/>
      <c r="C278" s="44"/>
      <c r="D278" s="44"/>
      <c r="E278" s="44"/>
      <c r="F278" s="44"/>
      <c r="G278" s="44"/>
      <c r="H278" s="44"/>
      <c r="I278" s="44"/>
      <c r="J278" s="44"/>
      <c r="K278" s="44"/>
      <c r="L278" s="44"/>
      <c r="M278" s="44"/>
    </row>
    <row r="279" spans="2:27" ht="13.5">
      <c r="B279" s="44"/>
      <c r="C279" s="44"/>
      <c r="D279" s="44"/>
      <c r="E279" s="44"/>
      <c r="F279" s="44"/>
      <c r="G279" s="44"/>
      <c r="H279" s="44"/>
      <c r="I279" s="44"/>
      <c r="J279" s="44"/>
      <c r="K279" s="44"/>
      <c r="L279" s="44"/>
      <c r="M279" s="44"/>
      <c r="N279" s="132"/>
      <c r="P279" s="44"/>
      <c r="Q279" s="44"/>
      <c r="R279" s="44"/>
      <c r="S279" s="44"/>
      <c r="T279" s="44"/>
      <c r="U279" s="44"/>
      <c r="V279" s="44"/>
      <c r="W279" s="44"/>
      <c r="X279" s="44"/>
      <c r="Y279" s="44"/>
      <c r="Z279" s="44"/>
      <c r="AA279" s="44"/>
    </row>
    <row r="280" spans="2:27" ht="13.5">
      <c r="B280" s="44"/>
      <c r="C280" s="44"/>
      <c r="D280" s="44"/>
      <c r="E280" s="44"/>
      <c r="F280" s="44"/>
      <c r="G280" s="44"/>
      <c r="H280" s="44"/>
      <c r="I280" s="44"/>
      <c r="J280" s="44"/>
      <c r="K280" s="44"/>
      <c r="L280" s="44"/>
      <c r="M280" s="44"/>
      <c r="N280" s="133"/>
      <c r="P280" s="44"/>
      <c r="Q280" s="44"/>
      <c r="R280" s="44"/>
      <c r="S280" s="44"/>
      <c r="T280" s="44"/>
      <c r="U280" s="44"/>
      <c r="V280" s="44"/>
      <c r="W280" s="44"/>
      <c r="X280" s="44"/>
      <c r="Y280" s="44"/>
      <c r="Z280" s="44"/>
      <c r="AA280" s="44"/>
    </row>
    <row r="281" spans="2:27" ht="13.5">
      <c r="B281" s="44"/>
      <c r="C281" s="44"/>
      <c r="D281" s="44"/>
      <c r="E281" s="44"/>
      <c r="F281" s="44"/>
      <c r="G281" s="44"/>
      <c r="H281" s="44"/>
      <c r="I281" s="44"/>
      <c r="J281" s="44"/>
      <c r="K281" s="44"/>
      <c r="L281" s="44"/>
      <c r="M281" s="44"/>
      <c r="P281" s="44"/>
      <c r="Q281" s="44"/>
      <c r="R281" s="44"/>
      <c r="S281" s="44"/>
      <c r="T281" s="44"/>
      <c r="U281" s="44"/>
      <c r="V281" s="44"/>
      <c r="W281" s="44"/>
      <c r="X281" s="44"/>
      <c r="Y281" s="44"/>
      <c r="Z281" s="44"/>
      <c r="AA281" s="44"/>
    </row>
    <row r="282" spans="2:27" ht="13.5">
      <c r="B282" s="44"/>
      <c r="C282" s="44"/>
      <c r="D282" s="44"/>
      <c r="E282" s="44"/>
      <c r="F282" s="44"/>
      <c r="G282" s="44"/>
      <c r="H282" s="44"/>
      <c r="I282" s="44"/>
      <c r="J282" s="44"/>
      <c r="K282" s="44"/>
      <c r="L282" s="44"/>
      <c r="M282" s="44"/>
      <c r="P282" s="44"/>
      <c r="Q282" s="44"/>
      <c r="R282" s="44"/>
      <c r="S282" s="44"/>
      <c r="T282" s="44"/>
      <c r="U282" s="44"/>
      <c r="V282" s="44"/>
      <c r="W282" s="44"/>
      <c r="X282" s="44"/>
      <c r="Y282" s="44"/>
      <c r="Z282" s="44"/>
      <c r="AA282" s="44"/>
    </row>
    <row r="283" spans="2:27" ht="13.5">
      <c r="B283" s="44"/>
      <c r="C283" s="44"/>
      <c r="D283" s="44"/>
      <c r="E283" s="44"/>
      <c r="F283" s="44"/>
      <c r="G283" s="44"/>
      <c r="H283" s="44"/>
      <c r="I283" s="44"/>
      <c r="J283" s="44"/>
      <c r="K283" s="44"/>
      <c r="L283" s="44"/>
      <c r="M283" s="44"/>
      <c r="P283" s="44"/>
      <c r="Q283" s="44"/>
      <c r="R283" s="44"/>
      <c r="S283" s="44"/>
      <c r="T283" s="44"/>
      <c r="U283" s="44"/>
      <c r="V283" s="44"/>
      <c r="W283" s="44"/>
      <c r="X283" s="44"/>
      <c r="Y283" s="44"/>
      <c r="Z283" s="44"/>
      <c r="AA283" s="44"/>
    </row>
    <row r="284" spans="2:27" ht="13.5">
      <c r="B284" s="44"/>
      <c r="C284" s="44"/>
      <c r="D284" s="44"/>
      <c r="E284" s="44"/>
      <c r="F284" s="44"/>
      <c r="G284" s="44"/>
      <c r="H284" s="44"/>
      <c r="I284" s="44"/>
      <c r="J284" s="44"/>
      <c r="K284" s="44"/>
      <c r="L284" s="44"/>
      <c r="M284" s="44"/>
      <c r="P284" s="44"/>
      <c r="Q284" s="44"/>
      <c r="R284" s="44"/>
      <c r="S284" s="44"/>
      <c r="T284" s="44"/>
      <c r="U284" s="44"/>
      <c r="V284" s="44"/>
      <c r="W284" s="44"/>
      <c r="X284" s="44"/>
      <c r="Y284" s="44"/>
      <c r="Z284" s="44"/>
      <c r="AA284" s="44"/>
    </row>
    <row r="285" spans="2:27" ht="13.5">
      <c r="B285" s="44"/>
      <c r="C285" s="44"/>
      <c r="D285" s="44"/>
      <c r="E285" s="44"/>
      <c r="F285" s="44"/>
      <c r="G285" s="44"/>
      <c r="H285" s="44"/>
      <c r="I285" s="44"/>
      <c r="J285" s="44"/>
      <c r="K285" s="44"/>
      <c r="L285" s="44"/>
      <c r="M285" s="44"/>
      <c r="P285" s="44"/>
      <c r="Q285" s="44"/>
      <c r="R285" s="44"/>
      <c r="S285" s="44"/>
      <c r="T285" s="44"/>
      <c r="U285" s="44"/>
      <c r="V285" s="44"/>
      <c r="W285" s="44"/>
      <c r="X285" s="44"/>
      <c r="Y285" s="44"/>
      <c r="Z285" s="44"/>
      <c r="AA285" s="44"/>
    </row>
    <row r="286" spans="2:27" ht="13.5">
      <c r="B286" s="44"/>
      <c r="C286" s="44"/>
      <c r="D286" s="44"/>
      <c r="E286" s="44"/>
      <c r="F286" s="44"/>
      <c r="G286" s="44"/>
      <c r="H286" s="44"/>
      <c r="I286" s="44"/>
      <c r="J286" s="44"/>
      <c r="K286" s="44"/>
      <c r="L286" s="44"/>
      <c r="M286" s="44"/>
      <c r="P286" s="44"/>
      <c r="Q286" s="44"/>
      <c r="R286" s="44"/>
      <c r="S286" s="44"/>
      <c r="T286" s="44"/>
      <c r="U286" s="44"/>
      <c r="V286" s="44"/>
      <c r="W286" s="44"/>
      <c r="X286" s="44"/>
      <c r="Y286" s="44"/>
      <c r="Z286" s="44"/>
      <c r="AA286" s="44"/>
    </row>
    <row r="287" spans="2:27" ht="13.5">
      <c r="B287" s="44"/>
      <c r="C287" s="44"/>
      <c r="D287" s="44"/>
      <c r="E287" s="44"/>
      <c r="F287" s="44"/>
      <c r="G287" s="44"/>
      <c r="H287" s="44"/>
      <c r="I287" s="44"/>
      <c r="J287" s="44"/>
      <c r="K287" s="44"/>
      <c r="L287" s="44"/>
      <c r="M287" s="44"/>
      <c r="P287" s="44"/>
      <c r="Q287" s="44"/>
      <c r="R287" s="44"/>
      <c r="S287" s="44"/>
      <c r="T287" s="44"/>
      <c r="U287" s="44"/>
      <c r="V287" s="44"/>
      <c r="W287" s="44"/>
      <c r="X287" s="44"/>
      <c r="Y287" s="44"/>
      <c r="Z287" s="44"/>
      <c r="AA287" s="44"/>
    </row>
    <row r="288" spans="2:27" ht="13.5">
      <c r="B288" s="44"/>
      <c r="C288" s="44"/>
      <c r="D288" s="44"/>
      <c r="E288" s="44"/>
      <c r="F288" s="44"/>
      <c r="G288" s="44"/>
      <c r="H288" s="44"/>
      <c r="I288" s="44"/>
      <c r="J288" s="44"/>
      <c r="K288" s="44"/>
      <c r="L288" s="44"/>
      <c r="M288" s="44"/>
      <c r="P288" s="44"/>
      <c r="Q288" s="44"/>
      <c r="R288" s="44"/>
      <c r="S288" s="44"/>
      <c r="T288" s="44"/>
      <c r="U288" s="44"/>
      <c r="V288" s="44"/>
      <c r="W288" s="44"/>
      <c r="X288" s="44"/>
      <c r="Y288" s="44"/>
      <c r="Z288" s="44"/>
      <c r="AA288" s="44"/>
    </row>
    <row r="289" spans="2:27" ht="13.5">
      <c r="B289" s="44"/>
      <c r="C289" s="44"/>
      <c r="D289" s="44"/>
      <c r="E289" s="44"/>
      <c r="F289" s="44"/>
      <c r="G289" s="44"/>
      <c r="H289" s="44"/>
      <c r="I289" s="44"/>
      <c r="J289" s="44"/>
      <c r="K289" s="44"/>
      <c r="L289" s="44"/>
      <c r="M289" s="44"/>
      <c r="P289" s="44"/>
      <c r="Q289" s="44"/>
      <c r="R289" s="44"/>
      <c r="S289" s="44"/>
      <c r="T289" s="44"/>
      <c r="U289" s="44"/>
      <c r="V289" s="44"/>
      <c r="W289" s="44"/>
      <c r="X289" s="44"/>
      <c r="Y289" s="44"/>
      <c r="Z289" s="44"/>
      <c r="AA289" s="44"/>
    </row>
    <row r="290" spans="2:27" ht="13.5">
      <c r="B290" s="44"/>
      <c r="C290" s="44"/>
      <c r="D290" s="44"/>
      <c r="E290" s="44"/>
      <c r="F290" s="44"/>
      <c r="G290" s="44"/>
      <c r="H290" s="44"/>
      <c r="I290" s="44"/>
      <c r="J290" s="44"/>
      <c r="K290" s="44"/>
      <c r="L290" s="44"/>
      <c r="M290" s="44"/>
      <c r="P290" s="44"/>
      <c r="Q290" s="44"/>
      <c r="R290" s="44"/>
      <c r="S290" s="44"/>
      <c r="T290" s="44"/>
      <c r="U290" s="44"/>
      <c r="V290" s="44"/>
      <c r="W290" s="44"/>
      <c r="X290" s="44"/>
      <c r="Y290" s="44"/>
      <c r="Z290" s="44"/>
      <c r="AA290" s="44"/>
    </row>
    <row r="291" spans="2:27" ht="13.5">
      <c r="B291" s="44"/>
      <c r="C291" s="44"/>
      <c r="D291" s="44"/>
      <c r="E291" s="44"/>
      <c r="F291" s="44"/>
      <c r="G291" s="44"/>
      <c r="H291" s="44"/>
      <c r="I291" s="44"/>
      <c r="J291" s="44"/>
      <c r="K291" s="44"/>
      <c r="L291" s="44"/>
      <c r="M291" s="44"/>
      <c r="P291" s="44"/>
      <c r="Q291" s="44"/>
      <c r="R291" s="44"/>
      <c r="S291" s="44"/>
      <c r="T291" s="44"/>
      <c r="U291" s="44"/>
      <c r="V291" s="44"/>
      <c r="W291" s="44"/>
      <c r="X291" s="44"/>
      <c r="Y291" s="44"/>
      <c r="Z291" s="44"/>
      <c r="AA291" s="44"/>
    </row>
    <row r="292" spans="2:27" ht="13.5">
      <c r="B292" s="44"/>
      <c r="C292" s="44"/>
      <c r="D292" s="44"/>
      <c r="E292" s="44"/>
      <c r="F292" s="44"/>
      <c r="G292" s="44"/>
      <c r="H292" s="44"/>
      <c r="I292" s="44"/>
      <c r="J292" s="44"/>
      <c r="K292" s="44"/>
      <c r="L292" s="44"/>
      <c r="M292" s="44"/>
      <c r="P292" s="44"/>
      <c r="Q292" s="44"/>
      <c r="R292" s="44"/>
      <c r="S292" s="44"/>
      <c r="T292" s="44"/>
      <c r="U292" s="44"/>
      <c r="V292" s="44"/>
      <c r="W292" s="44"/>
      <c r="X292" s="44"/>
      <c r="Y292" s="44"/>
      <c r="Z292" s="44"/>
      <c r="AA292" s="44"/>
    </row>
    <row r="293" spans="2:13" ht="13.5">
      <c r="B293" s="44"/>
      <c r="C293" s="44"/>
      <c r="D293" s="44"/>
      <c r="E293" s="44"/>
      <c r="F293" s="44"/>
      <c r="G293" s="44"/>
      <c r="H293" s="44"/>
      <c r="I293" s="44"/>
      <c r="J293" s="44"/>
      <c r="K293" s="44"/>
      <c r="L293" s="44"/>
      <c r="M293" s="44"/>
    </row>
    <row r="294" spans="2:13" ht="13.5">
      <c r="B294" s="44"/>
      <c r="C294" s="44"/>
      <c r="D294" s="44"/>
      <c r="E294" s="44"/>
      <c r="F294" s="44"/>
      <c r="G294" s="44"/>
      <c r="H294" s="44"/>
      <c r="I294" s="44"/>
      <c r="J294" s="44"/>
      <c r="K294" s="44"/>
      <c r="L294" s="44"/>
      <c r="M294" s="44"/>
    </row>
    <row r="295" spans="2:14" ht="13.5">
      <c r="B295" s="44"/>
      <c r="C295" s="44"/>
      <c r="D295" s="44"/>
      <c r="E295" s="44"/>
      <c r="F295" s="44"/>
      <c r="G295" s="44"/>
      <c r="H295" s="44"/>
      <c r="I295" s="44"/>
      <c r="J295" s="44"/>
      <c r="K295" s="44"/>
      <c r="L295" s="44"/>
      <c r="M295" s="44"/>
      <c r="N295" s="56"/>
    </row>
    <row r="296" spans="2:14" ht="13.5">
      <c r="B296" s="44"/>
      <c r="C296" s="44"/>
      <c r="D296" s="44"/>
      <c r="E296" s="44"/>
      <c r="F296" s="44"/>
      <c r="G296" s="44"/>
      <c r="H296" s="44"/>
      <c r="I296" s="44"/>
      <c r="J296" s="44"/>
      <c r="K296" s="44"/>
      <c r="L296" s="44"/>
      <c r="M296" s="44"/>
      <c r="N296" s="56"/>
    </row>
    <row r="297" spans="2:14" ht="13.5">
      <c r="B297" s="44"/>
      <c r="C297" s="44"/>
      <c r="D297" s="44"/>
      <c r="E297" s="44"/>
      <c r="F297" s="44"/>
      <c r="G297" s="44"/>
      <c r="H297" s="44"/>
      <c r="I297" s="44"/>
      <c r="J297" s="44"/>
      <c r="K297" s="44"/>
      <c r="L297" s="44"/>
      <c r="M297" s="44"/>
      <c r="N297" s="56"/>
    </row>
    <row r="298" spans="2:14" ht="13.5">
      <c r="B298" s="44"/>
      <c r="C298" s="44"/>
      <c r="D298" s="44"/>
      <c r="E298" s="44"/>
      <c r="F298" s="44"/>
      <c r="G298" s="44"/>
      <c r="H298" s="44"/>
      <c r="I298" s="44"/>
      <c r="J298" s="44"/>
      <c r="K298" s="44"/>
      <c r="L298" s="44"/>
      <c r="M298" s="44"/>
      <c r="N298" s="56"/>
    </row>
    <row r="299" spans="2:14" ht="13.5">
      <c r="B299" s="44"/>
      <c r="C299" s="44"/>
      <c r="D299" s="44"/>
      <c r="E299" s="44"/>
      <c r="F299" s="44"/>
      <c r="G299" s="44"/>
      <c r="H299" s="44"/>
      <c r="I299" s="44"/>
      <c r="J299" s="44"/>
      <c r="K299" s="44"/>
      <c r="L299" s="44"/>
      <c r="M299" s="44"/>
      <c r="N299" s="56"/>
    </row>
    <row r="300" spans="2:14" ht="13.5">
      <c r="B300" s="44"/>
      <c r="C300" s="44"/>
      <c r="D300" s="44"/>
      <c r="E300" s="44"/>
      <c r="F300" s="44"/>
      <c r="G300" s="44"/>
      <c r="H300" s="44"/>
      <c r="I300" s="44"/>
      <c r="J300" s="44"/>
      <c r="K300" s="44"/>
      <c r="L300" s="44"/>
      <c r="M300" s="44"/>
      <c r="N300" s="56"/>
    </row>
    <row r="301" spans="2:14" ht="13.5">
      <c r="B301" s="44"/>
      <c r="C301" s="44"/>
      <c r="D301" s="44"/>
      <c r="E301" s="44"/>
      <c r="F301" s="44"/>
      <c r="G301" s="44"/>
      <c r="H301" s="44"/>
      <c r="I301" s="44"/>
      <c r="J301" s="44"/>
      <c r="K301" s="44"/>
      <c r="L301" s="44"/>
      <c r="M301" s="44"/>
      <c r="N301" s="56"/>
    </row>
    <row r="302" spans="2:13" ht="13.5">
      <c r="B302" s="44"/>
      <c r="C302" s="44"/>
      <c r="D302" s="44"/>
      <c r="E302" s="44"/>
      <c r="F302" s="44"/>
      <c r="G302" s="44"/>
      <c r="H302" s="44"/>
      <c r="I302" s="44"/>
      <c r="J302" s="44"/>
      <c r="K302" s="44"/>
      <c r="L302" s="44"/>
      <c r="M302" s="44"/>
    </row>
    <row r="303" spans="2:13" ht="13.5">
      <c r="B303" s="44"/>
      <c r="C303" s="44"/>
      <c r="D303" s="44"/>
      <c r="E303" s="44"/>
      <c r="F303" s="44"/>
      <c r="G303" s="44"/>
      <c r="H303" s="44"/>
      <c r="I303" s="44"/>
      <c r="J303" s="44"/>
      <c r="K303" s="44"/>
      <c r="L303" s="44"/>
      <c r="M303" s="44"/>
    </row>
    <row r="304" spans="2:13" ht="13.5">
      <c r="B304" s="44"/>
      <c r="C304" s="44"/>
      <c r="D304" s="44"/>
      <c r="E304" s="44"/>
      <c r="F304" s="44"/>
      <c r="G304" s="44"/>
      <c r="H304" s="44"/>
      <c r="I304" s="44"/>
      <c r="J304" s="44"/>
      <c r="K304" s="44"/>
      <c r="L304" s="44"/>
      <c r="M304" s="44"/>
    </row>
    <row r="305" spans="2:13" ht="13.5">
      <c r="B305" s="44"/>
      <c r="C305" s="44"/>
      <c r="D305" s="44"/>
      <c r="E305" s="44"/>
      <c r="F305" s="44"/>
      <c r="G305" s="44"/>
      <c r="H305" s="44"/>
      <c r="I305" s="44"/>
      <c r="J305" s="44"/>
      <c r="K305" s="44"/>
      <c r="L305" s="44"/>
      <c r="M305" s="44"/>
    </row>
    <row r="306" spans="2:13" ht="13.5">
      <c r="B306" s="44"/>
      <c r="C306" s="44"/>
      <c r="D306" s="44"/>
      <c r="E306" s="44"/>
      <c r="F306" s="44"/>
      <c r="G306" s="44"/>
      <c r="H306" s="44"/>
      <c r="I306" s="44"/>
      <c r="J306" s="44"/>
      <c r="K306" s="44"/>
      <c r="L306" s="44"/>
      <c r="M306" s="44"/>
    </row>
    <row r="307" spans="2:13" ht="13.5">
      <c r="B307" s="44"/>
      <c r="C307" s="44"/>
      <c r="D307" s="44"/>
      <c r="E307" s="44"/>
      <c r="F307" s="44"/>
      <c r="G307" s="44"/>
      <c r="H307" s="44"/>
      <c r="I307" s="44"/>
      <c r="J307" s="44"/>
      <c r="K307" s="44"/>
      <c r="L307" s="44"/>
      <c r="M307" s="44"/>
    </row>
    <row r="308" spans="2:13" ht="13.5">
      <c r="B308" s="44"/>
      <c r="C308" s="44"/>
      <c r="D308" s="44"/>
      <c r="E308" s="44"/>
      <c r="F308" s="44"/>
      <c r="G308" s="44"/>
      <c r="H308" s="44"/>
      <c r="I308" s="44"/>
      <c r="J308" s="44"/>
      <c r="K308" s="44"/>
      <c r="L308" s="44"/>
      <c r="M308" s="44"/>
    </row>
    <row r="309" spans="2:13" ht="13.5">
      <c r="B309" s="44"/>
      <c r="C309" s="44"/>
      <c r="D309" s="44"/>
      <c r="E309" s="44"/>
      <c r="F309" s="44"/>
      <c r="G309" s="44"/>
      <c r="H309" s="44"/>
      <c r="I309" s="44"/>
      <c r="J309" s="44"/>
      <c r="K309" s="44"/>
      <c r="L309" s="44"/>
      <c r="M309" s="44"/>
    </row>
    <row r="310" spans="2:13" ht="13.5">
      <c r="B310" s="44"/>
      <c r="C310" s="44"/>
      <c r="D310" s="44"/>
      <c r="E310" s="44"/>
      <c r="F310" s="44"/>
      <c r="G310" s="44"/>
      <c r="H310" s="44"/>
      <c r="I310" s="44"/>
      <c r="J310" s="44"/>
      <c r="K310" s="44"/>
      <c r="L310" s="44"/>
      <c r="M310" s="44"/>
    </row>
    <row r="311" spans="2:13" ht="13.5">
      <c r="B311" s="44"/>
      <c r="C311" s="44"/>
      <c r="D311" s="44"/>
      <c r="E311" s="44"/>
      <c r="F311" s="44"/>
      <c r="G311" s="44"/>
      <c r="H311" s="44"/>
      <c r="I311" s="44"/>
      <c r="J311" s="44"/>
      <c r="K311" s="44"/>
      <c r="L311" s="44"/>
      <c r="M311" s="44"/>
    </row>
    <row r="312" spans="2:13" ht="13.5">
      <c r="B312" s="44"/>
      <c r="C312" s="44"/>
      <c r="D312" s="44"/>
      <c r="E312" s="44"/>
      <c r="F312" s="44"/>
      <c r="G312" s="44"/>
      <c r="H312" s="44"/>
      <c r="I312" s="44"/>
      <c r="J312" s="44"/>
      <c r="K312" s="44"/>
      <c r="L312" s="44"/>
      <c r="M312" s="44"/>
    </row>
    <row r="313" spans="1:13" s="45" customFormat="1" ht="13.5">
      <c r="A313" s="43"/>
      <c r="B313" s="146"/>
      <c r="C313" s="146"/>
      <c r="D313" s="146"/>
      <c r="E313" s="146"/>
      <c r="F313" s="146"/>
      <c r="G313" s="146"/>
      <c r="H313" s="146"/>
      <c r="I313" s="146"/>
      <c r="J313" s="146"/>
      <c r="K313" s="146"/>
      <c r="L313" s="146"/>
      <c r="M313" s="146"/>
    </row>
    <row r="314" s="45" customFormat="1" ht="13.5">
      <c r="A314" s="43"/>
    </row>
    <row r="315" s="45" customFormat="1" ht="13.5">
      <c r="A315" s="43"/>
    </row>
    <row r="316" s="45" customFormat="1" ht="13.5">
      <c r="A316" s="43"/>
    </row>
    <row r="317" s="45" customFormat="1" ht="13.5">
      <c r="A317" s="43"/>
    </row>
    <row r="318" s="45" customFormat="1" ht="13.5">
      <c r="A318" s="43"/>
    </row>
    <row r="319" s="45" customFormat="1" ht="13.5">
      <c r="A319" s="43"/>
    </row>
    <row r="320" s="45" customFormat="1" ht="13.5">
      <c r="A320" s="43"/>
    </row>
    <row r="321" s="45" customFormat="1" ht="13.5">
      <c r="A321" s="43"/>
    </row>
    <row r="322" s="45" customFormat="1" ht="13.5">
      <c r="A322" s="43"/>
    </row>
    <row r="323" s="45" customFormat="1" ht="13.5">
      <c r="A323" s="43"/>
    </row>
    <row r="324" s="45" customFormat="1" ht="13.5">
      <c r="A324" s="43"/>
    </row>
    <row r="325" spans="1:13" s="45" customFormat="1" ht="13.5">
      <c r="A325" s="43"/>
      <c r="K325" s="154"/>
      <c r="L325" s="154"/>
      <c r="M325" s="146"/>
    </row>
    <row r="326" spans="2:10" ht="13.5">
      <c r="B326" s="44"/>
      <c r="C326" s="44"/>
      <c r="D326" s="44"/>
      <c r="E326" s="44"/>
      <c r="F326" s="44"/>
      <c r="G326" s="44"/>
      <c r="H326" s="44"/>
      <c r="I326" s="44"/>
      <c r="J326" s="44"/>
    </row>
    <row r="332" ht="13.5">
      <c r="K332" s="228"/>
    </row>
    <row r="336" ht="13.5">
      <c r="A336" s="146"/>
    </row>
  </sheetData>
  <sheetProtection/>
  <protectedRanges>
    <protectedRange password="CC5D" sqref="N280" name="Aralık1_2"/>
    <protectedRange password="CC5D" sqref="N279" name="Aralık1_5"/>
    <protectedRange password="CC5D" sqref="R117:S117 T117:U122 T127:U132 Q118:Q122 W133 R127:S127 P127 X126:X127 Y117:Z123 Y127:Z133 P117:P123 P128:Q132" name="Aralık1_1_2"/>
    <protectedRange password="CC5D" sqref="R138:S138 T148:U153 Q139:Q143 W154 R148:S148 P148 X147:X148 Y148:Z154 P136:U136 Y138:Z144 T138:U143 P115:U115 P188:Q188 P149:Q153 P138:P144 P181:U181 Q184:Q187 P182:P187 R182:S183 V183:V188 P196:U196 P200:Q204 R197:S197 P197:P199 Q198:Q199 V197:V204" name="Aralık1_1_2_1"/>
    <protectedRange password="CC5D" sqref="V182 V191:V193 T206" name="Aralık1_1"/>
    <protectedRange password="CC5D" sqref="V190" name="Aralık1_3_1"/>
    <protectedRange password="CC5D" sqref="P190:P193 P206" name="Aralık1_5_1"/>
    <protectedRange password="CC5D" sqref="P168 P178" name="Aralık1_1_1"/>
    <protectedRange password="CC5D" sqref="B80 E80:F80 M74:M75 I65 M66 I70 M71 I72:I73 I76 M68:M69 I67 B65:D76" name="Aralık1_1_2_1_1"/>
    <protectedRange password="CC5D" sqref="M80" name="Aralık1_1_3"/>
    <protectedRange password="CC5D" sqref="Q209:Q211 Q214:Q217" name="Aralık1_1_4"/>
    <protectedRange password="CC5D" sqref="P208:P211 P213:P217" name="Aralık1_5_1_2"/>
    <protectedRange password="CC5D" sqref="AD275:AF275" name="Aralık1_8"/>
  </protectedRanges>
  <mergeCells count="135">
    <mergeCell ref="P206:V206"/>
    <mergeCell ref="P202:V202"/>
    <mergeCell ref="P3:Z3"/>
    <mergeCell ref="P6:Z6"/>
    <mergeCell ref="P8:Z8"/>
    <mergeCell ref="P9:Z9"/>
    <mergeCell ref="P11:Z11"/>
    <mergeCell ref="P13:Z13"/>
    <mergeCell ref="P15:Z15"/>
    <mergeCell ref="P16:Z16"/>
    <mergeCell ref="P204:U204"/>
    <mergeCell ref="P203:U203"/>
    <mergeCell ref="P201:U201"/>
    <mergeCell ref="P199:U199"/>
    <mergeCell ref="P5:AA5"/>
    <mergeCell ref="B69:L69"/>
    <mergeCell ref="B68:L68"/>
    <mergeCell ref="P186:U186"/>
    <mergeCell ref="P185:U185"/>
    <mergeCell ref="P184:U184"/>
    <mergeCell ref="P200:U200"/>
    <mergeCell ref="B74:L74"/>
    <mergeCell ref="B71:L71"/>
    <mergeCell ref="P191:U191"/>
    <mergeCell ref="P190:U190"/>
    <mergeCell ref="P183:U183"/>
    <mergeCell ref="P182:U182"/>
    <mergeCell ref="P197:U197"/>
    <mergeCell ref="B80:L80"/>
    <mergeCell ref="P97:R97"/>
    <mergeCell ref="P193:U193"/>
    <mergeCell ref="P192:U192"/>
    <mergeCell ref="T97:V97"/>
    <mergeCell ref="P127:S127"/>
    <mergeCell ref="P117:S117"/>
    <mergeCell ref="P131:S131"/>
    <mergeCell ref="P149:S149"/>
    <mergeCell ref="P135:AA136"/>
    <mergeCell ref="P123:R123"/>
    <mergeCell ref="P105:P106"/>
    <mergeCell ref="B28:L28"/>
    <mergeCell ref="B27:L27"/>
    <mergeCell ref="B24:M24"/>
    <mergeCell ref="B39:L39"/>
    <mergeCell ref="B4:L4"/>
    <mergeCell ref="P104:Q104"/>
    <mergeCell ref="P103:Q103"/>
    <mergeCell ref="D62:M62"/>
    <mergeCell ref="B73:M73"/>
    <mergeCell ref="B75:L75"/>
    <mergeCell ref="T104:U104"/>
    <mergeCell ref="P7:Z7"/>
    <mergeCell ref="P14:Z14"/>
    <mergeCell ref="P12:Z12"/>
    <mergeCell ref="P10:Z10"/>
    <mergeCell ref="B196:M197"/>
    <mergeCell ref="B34:L34"/>
    <mergeCell ref="B67:M67"/>
    <mergeCell ref="B65:M65"/>
    <mergeCell ref="B64:M64"/>
    <mergeCell ref="B143:M143"/>
    <mergeCell ref="B142:M142"/>
    <mergeCell ref="B192:G192"/>
    <mergeCell ref="B92:M92"/>
    <mergeCell ref="B79:M79"/>
    <mergeCell ref="T105:T106"/>
    <mergeCell ref="P120:S120"/>
    <mergeCell ref="P128:S128"/>
    <mergeCell ref="P129:S129"/>
    <mergeCell ref="T103:U103"/>
    <mergeCell ref="P122:R122"/>
    <mergeCell ref="P198:U198"/>
    <mergeCell ref="Y126:Z126"/>
    <mergeCell ref="P130:S130"/>
    <mergeCell ref="P118:S118"/>
    <mergeCell ref="P119:S119"/>
    <mergeCell ref="P121:S121"/>
    <mergeCell ref="P150:S150"/>
    <mergeCell ref="Y137:Z137"/>
    <mergeCell ref="P143:R143"/>
    <mergeCell ref="P152:S152"/>
    <mergeCell ref="P180:AA181"/>
    <mergeCell ref="P188:U188"/>
    <mergeCell ref="P187:U187"/>
    <mergeCell ref="P138:S138"/>
    <mergeCell ref="P132:R132"/>
    <mergeCell ref="P140:S140"/>
    <mergeCell ref="P141:S141"/>
    <mergeCell ref="P114:AA115"/>
    <mergeCell ref="P153:R153"/>
    <mergeCell ref="P144:Q144"/>
    <mergeCell ref="Y147:Z147"/>
    <mergeCell ref="P148:S148"/>
    <mergeCell ref="P195:AA196"/>
    <mergeCell ref="P142:S142"/>
    <mergeCell ref="P151:S151"/>
    <mergeCell ref="Y116:Z116"/>
    <mergeCell ref="P139:S139"/>
    <mergeCell ref="P92:V92"/>
    <mergeCell ref="B7:L7"/>
    <mergeCell ref="B6:L6"/>
    <mergeCell ref="B12:M12"/>
    <mergeCell ref="B93:M93"/>
    <mergeCell ref="B70:M70"/>
    <mergeCell ref="B33:L33"/>
    <mergeCell ref="B30:L30"/>
    <mergeCell ref="B29:L29"/>
    <mergeCell ref="B44:L44"/>
    <mergeCell ref="B45:L45"/>
    <mergeCell ref="B31:L31"/>
    <mergeCell ref="B48:L48"/>
    <mergeCell ref="B49:L49"/>
    <mergeCell ref="D78:M78"/>
    <mergeCell ref="B76:M76"/>
    <mergeCell ref="B46:L46"/>
    <mergeCell ref="B42:L42"/>
    <mergeCell ref="B43:L43"/>
    <mergeCell ref="B50:L50"/>
    <mergeCell ref="B51:L51"/>
    <mergeCell ref="B18:L18"/>
    <mergeCell ref="B19:L19"/>
    <mergeCell ref="B20:L20"/>
    <mergeCell ref="B21:L21"/>
    <mergeCell ref="B26:L26"/>
    <mergeCell ref="B25:L25"/>
    <mergeCell ref="B40:L40"/>
    <mergeCell ref="B41:L41"/>
    <mergeCell ref="B32:L32"/>
    <mergeCell ref="B66:L66"/>
    <mergeCell ref="B72:M72"/>
    <mergeCell ref="C54:L54"/>
    <mergeCell ref="C58:L58"/>
    <mergeCell ref="C57:L57"/>
    <mergeCell ref="C56:L56"/>
    <mergeCell ref="C55:L55"/>
  </mergeCells>
  <printOptions/>
  <pageMargins left="0.1968503937007874" right="0.1968503937007874" top="0.1968503937007874" bottom="0.1968503937007874" header="0.11811023622047245" footer="0.11811023622047245"/>
  <pageSetup firstPageNumber="1"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ver. 07.11.10</dc:title>
  <dc:subject>SİCİL DURUM BELGESİ VE HESAP PROGRAMI</dc:subject>
  <dc:creator>Administrator</dc:creator>
  <cp:keywords/>
  <dc:description>Bu Belgeler Makina Mühendisleri Odası Adana Şubesi Teknik Görevlisi HALİL BULUCU Tarafından Hazırlanmıştır.</dc:description>
  <cp:lastModifiedBy>HARUN</cp:lastModifiedBy>
  <cp:lastPrinted>2015-07-21T07:24:48Z</cp:lastPrinted>
  <dcterms:created xsi:type="dcterms:W3CDTF">1998-02-16T17:28:00Z</dcterms:created>
  <dcterms:modified xsi:type="dcterms:W3CDTF">2024-03-08T12:45:35Z</dcterms:modified>
  <cp:category>EVRAK</cp:category>
  <cp:version/>
  <cp:contentType/>
  <cp:contentStatus/>
</cp:coreProperties>
</file>